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waterforpeople.sharepoint.com/sites/IYUTeam/Shared Documents/General/IYU FY 2024-OPERATIONS/TENDER/MVD RESPONSE PROJECTS/WORKS/RFP/"/>
    </mc:Choice>
  </mc:AlternateContent>
  <xr:revisionPtr revIDLastSave="3" documentId="8_{EF4FF9A9-F6A3-4209-B38F-0ABC578C3DCA}" xr6:coauthVersionLast="47" xr6:coauthVersionMax="47" xr10:uidLastSave="{D51257DE-39BC-4C88-A5F7-73C04814E401}"/>
  <bookViews>
    <workbookView xWindow="-108" yWindow="-108" windowWidth="23256" windowHeight="12456" xr2:uid="{87318EE0-F909-4892-90B8-9F7F043D8EFA}"/>
  </bookViews>
  <sheets>
    <sheet name="Lot_2"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0" i="1" l="1"/>
  <c r="D169" i="1"/>
  <c r="F608" i="1"/>
  <c r="F607" i="1"/>
  <c r="F606" i="1"/>
  <c r="F605" i="1"/>
  <c r="F604" i="1"/>
  <c r="F603" i="1"/>
  <c r="F602" i="1"/>
  <c r="F596" i="1"/>
  <c r="F595" i="1"/>
  <c r="F592" i="1"/>
  <c r="F591" i="1"/>
  <c r="F590" i="1"/>
  <c r="F589" i="1"/>
  <c r="F588" i="1"/>
  <c r="F593" i="1" s="1"/>
  <c r="F584" i="1"/>
  <c r="F583" i="1"/>
  <c r="F582" i="1"/>
  <c r="F581" i="1"/>
  <c r="F580" i="1"/>
  <c r="F579" i="1"/>
  <c r="F578" i="1"/>
  <c r="F577" i="1"/>
  <c r="F576" i="1"/>
  <c r="F575" i="1"/>
  <c r="F574" i="1"/>
  <c r="F573" i="1"/>
  <c r="F570" i="1"/>
  <c r="F569" i="1"/>
  <c r="F571" i="1" s="1"/>
  <c r="F566" i="1"/>
  <c r="F565" i="1"/>
  <c r="F564" i="1"/>
  <c r="F563" i="1"/>
  <c r="F562" i="1"/>
  <c r="F561" i="1"/>
  <c r="F560" i="1"/>
  <c r="F559" i="1"/>
  <c r="F558" i="1"/>
  <c r="F555" i="1"/>
  <c r="F554" i="1"/>
  <c r="F553" i="1"/>
  <c r="F543" i="1"/>
  <c r="F542" i="1"/>
  <c r="F544" i="1" s="1"/>
  <c r="F539" i="1"/>
  <c r="F540" i="1" s="1"/>
  <c r="F528" i="1"/>
  <c r="F527" i="1"/>
  <c r="F526" i="1"/>
  <c r="F525" i="1"/>
  <c r="F524" i="1"/>
  <c r="F523" i="1"/>
  <c r="F522" i="1"/>
  <c r="F516" i="1"/>
  <c r="F515" i="1"/>
  <c r="F517" i="1" s="1"/>
  <c r="F512" i="1"/>
  <c r="F511" i="1"/>
  <c r="F510" i="1"/>
  <c r="F509" i="1"/>
  <c r="F508" i="1"/>
  <c r="F504" i="1"/>
  <c r="F503" i="1"/>
  <c r="F502" i="1"/>
  <c r="F501" i="1"/>
  <c r="F500" i="1"/>
  <c r="F499" i="1"/>
  <c r="F498" i="1"/>
  <c r="F497" i="1"/>
  <c r="F496" i="1"/>
  <c r="F495" i="1"/>
  <c r="F494" i="1"/>
  <c r="F493" i="1"/>
  <c r="F490" i="1"/>
  <c r="F489" i="1"/>
  <c r="F486" i="1"/>
  <c r="F485" i="1"/>
  <c r="F484" i="1"/>
  <c r="F483" i="1"/>
  <c r="F482" i="1"/>
  <c r="F481" i="1"/>
  <c r="F480" i="1"/>
  <c r="F479" i="1"/>
  <c r="F478" i="1"/>
  <c r="F475" i="1"/>
  <c r="F474" i="1"/>
  <c r="F473" i="1"/>
  <c r="F463" i="1"/>
  <c r="F462" i="1"/>
  <c r="F461" i="1"/>
  <c r="F460" i="1"/>
  <c r="F459" i="1"/>
  <c r="F455" i="1"/>
  <c r="F454" i="1"/>
  <c r="F453" i="1"/>
  <c r="F452" i="1"/>
  <c r="F451" i="1"/>
  <c r="F450" i="1"/>
  <c r="F449" i="1"/>
  <c r="F448" i="1"/>
  <c r="F447" i="1"/>
  <c r="F446" i="1"/>
  <c r="F443" i="1"/>
  <c r="D443" i="1"/>
  <c r="F442" i="1"/>
  <c r="F444" i="1" s="1"/>
  <c r="D442" i="1"/>
  <c r="F439" i="1"/>
  <c r="F438" i="1"/>
  <c r="F437" i="1"/>
  <c r="F436" i="1"/>
  <c r="F435" i="1"/>
  <c r="F434" i="1"/>
  <c r="F433" i="1"/>
  <c r="F430" i="1"/>
  <c r="F429" i="1"/>
  <c r="F421" i="1"/>
  <c r="D420" i="1"/>
  <c r="F420" i="1" s="1"/>
  <c r="F419" i="1"/>
  <c r="D419" i="1"/>
  <c r="F418" i="1"/>
  <c r="D418" i="1"/>
  <c r="F417" i="1"/>
  <c r="D416" i="1"/>
  <c r="F416" i="1" s="1"/>
  <c r="F415" i="1"/>
  <c r="F414" i="1"/>
  <c r="F413" i="1"/>
  <c r="D413" i="1"/>
  <c r="D412" i="1"/>
  <c r="F412" i="1" s="1"/>
  <c r="D411" i="1"/>
  <c r="F411" i="1" s="1"/>
  <c r="F410" i="1"/>
  <c r="F409" i="1"/>
  <c r="D406" i="1"/>
  <c r="F406" i="1" s="1"/>
  <c r="F405" i="1"/>
  <c r="F404" i="1"/>
  <c r="D402" i="1"/>
  <c r="F402" i="1" s="1"/>
  <c r="D401" i="1"/>
  <c r="D403" i="1" s="1"/>
  <c r="F403" i="1" s="1"/>
  <c r="F399" i="1"/>
  <c r="F398" i="1"/>
  <c r="F397" i="1"/>
  <c r="F393" i="1"/>
  <c r="D392" i="1"/>
  <c r="D407" i="1" s="1"/>
  <c r="F407" i="1" s="1"/>
  <c r="D391" i="1"/>
  <c r="F391" i="1" s="1"/>
  <c r="D390" i="1"/>
  <c r="F390" i="1" s="1"/>
  <c r="D389" i="1"/>
  <c r="F389" i="1" s="1"/>
  <c r="D388" i="1"/>
  <c r="F388" i="1" s="1"/>
  <c r="D386" i="1"/>
  <c r="F386" i="1" s="1"/>
  <c r="D385" i="1"/>
  <c r="F385" i="1" s="1"/>
  <c r="D382" i="1"/>
  <c r="F382" i="1" s="1"/>
  <c r="D380" i="1"/>
  <c r="D394" i="1" s="1"/>
  <c r="F394" i="1" s="1"/>
  <c r="D379" i="1"/>
  <c r="F379" i="1" s="1"/>
  <c r="D378" i="1"/>
  <c r="F378" i="1" s="1"/>
  <c r="F377" i="1"/>
  <c r="F376" i="1"/>
  <c r="D376" i="1"/>
  <c r="F375" i="1"/>
  <c r="D375" i="1"/>
  <c r="D374" i="1"/>
  <c r="F374" i="1" s="1"/>
  <c r="F372" i="1"/>
  <c r="D372" i="1"/>
  <c r="F371" i="1"/>
  <c r="D371" i="1"/>
  <c r="D373" i="1" s="1"/>
  <c r="F373" i="1" s="1"/>
  <c r="D370" i="1"/>
  <c r="F370" i="1" s="1"/>
  <c r="F369" i="1"/>
  <c r="D369" i="1"/>
  <c r="F368" i="1"/>
  <c r="D368" i="1"/>
  <c r="F367" i="1"/>
  <c r="D367" i="1"/>
  <c r="F366" i="1"/>
  <c r="F363" i="1"/>
  <c r="F364" i="1" s="1"/>
  <c r="F362" i="1"/>
  <c r="F353" i="1"/>
  <c r="F352" i="1"/>
  <c r="F351" i="1"/>
  <c r="F350" i="1"/>
  <c r="F349" i="1"/>
  <c r="F348" i="1"/>
  <c r="F347" i="1"/>
  <c r="F341" i="1"/>
  <c r="F340" i="1"/>
  <c r="F337" i="1"/>
  <c r="F336" i="1"/>
  <c r="F335" i="1"/>
  <c r="F334" i="1"/>
  <c r="G333" i="1"/>
  <c r="F333" i="1"/>
  <c r="F329" i="1"/>
  <c r="F328" i="1"/>
  <c r="F327" i="1"/>
  <c r="F326" i="1"/>
  <c r="F325" i="1"/>
  <c r="F324" i="1"/>
  <c r="F323" i="1"/>
  <c r="F322" i="1"/>
  <c r="F321" i="1"/>
  <c r="F320" i="1"/>
  <c r="F319" i="1"/>
  <c r="F318" i="1"/>
  <c r="F315" i="1"/>
  <c r="F314" i="1"/>
  <c r="F311" i="1"/>
  <c r="F310" i="1"/>
  <c r="F309" i="1"/>
  <c r="F308" i="1"/>
  <c r="F307" i="1"/>
  <c r="F306" i="1"/>
  <c r="F305" i="1"/>
  <c r="F304" i="1"/>
  <c r="F303" i="1"/>
  <c r="F300" i="1"/>
  <c r="F299" i="1"/>
  <c r="F298" i="1"/>
  <c r="F289" i="1"/>
  <c r="F288" i="1"/>
  <c r="F287" i="1"/>
  <c r="F286" i="1"/>
  <c r="F285" i="1"/>
  <c r="F282" i="1"/>
  <c r="F281" i="1"/>
  <c r="F272" i="1"/>
  <c r="F271" i="1"/>
  <c r="F270" i="1"/>
  <c r="F269" i="1"/>
  <c r="F268" i="1"/>
  <c r="D267" i="1"/>
  <c r="F267" i="1" s="1"/>
  <c r="F266" i="1"/>
  <c r="F265" i="1"/>
  <c r="D265" i="1"/>
  <c r="D264" i="1"/>
  <c r="F264" i="1" s="1"/>
  <c r="F263" i="1"/>
  <c r="D262" i="1"/>
  <c r="F262" i="1" s="1"/>
  <c r="D261" i="1"/>
  <c r="F261" i="1" s="1"/>
  <c r="D260" i="1"/>
  <c r="F260" i="1" s="1"/>
  <c r="F259" i="1"/>
  <c r="F256" i="1"/>
  <c r="F255" i="1"/>
  <c r="F254" i="1"/>
  <c r="F253" i="1"/>
  <c r="F252" i="1"/>
  <c r="F251" i="1"/>
  <c r="F250" i="1"/>
  <c r="F249" i="1"/>
  <c r="F248" i="1"/>
  <c r="F247" i="1"/>
  <c r="F246" i="1"/>
  <c r="F245" i="1"/>
  <c r="F244" i="1"/>
  <c r="F243" i="1"/>
  <c r="F239" i="1"/>
  <c r="F238" i="1"/>
  <c r="F240" i="1" s="1"/>
  <c r="F235" i="1"/>
  <c r="F234" i="1"/>
  <c r="F233" i="1"/>
  <c r="F232" i="1"/>
  <c r="F231" i="1"/>
  <c r="F230" i="1"/>
  <c r="F229" i="1"/>
  <c r="F227" i="1"/>
  <c r="F226" i="1"/>
  <c r="F225" i="1"/>
  <c r="F224" i="1"/>
  <c r="F223" i="1"/>
  <c r="F222" i="1"/>
  <c r="F221" i="1"/>
  <c r="F220" i="1"/>
  <c r="F219" i="1"/>
  <c r="F218" i="1"/>
  <c r="F217" i="1"/>
  <c r="F216" i="1"/>
  <c r="F214" i="1"/>
  <c r="F213" i="1"/>
  <c r="F212" i="1"/>
  <c r="F211" i="1"/>
  <c r="F210" i="1"/>
  <c r="F209" i="1"/>
  <c r="F208" i="1"/>
  <c r="F207" i="1"/>
  <c r="F206" i="1"/>
  <c r="F205" i="1"/>
  <c r="F204" i="1"/>
  <c r="F203" i="1"/>
  <c r="F199" i="1"/>
  <c r="F198" i="1"/>
  <c r="F197" i="1"/>
  <c r="F196" i="1"/>
  <c r="F195" i="1"/>
  <c r="F194" i="1"/>
  <c r="F193" i="1"/>
  <c r="F192" i="1"/>
  <c r="F191" i="1"/>
  <c r="F190" i="1"/>
  <c r="F189" i="1"/>
  <c r="F188" i="1"/>
  <c r="F187" i="1"/>
  <c r="D182" i="1"/>
  <c r="D173" i="1" s="1"/>
  <c r="F173" i="1" s="1"/>
  <c r="F181" i="1"/>
  <c r="D181" i="1"/>
  <c r="F180" i="1"/>
  <c r="F179" i="1"/>
  <c r="F178" i="1"/>
  <c r="F177" i="1"/>
  <c r="D174" i="1"/>
  <c r="F174" i="1" s="1"/>
  <c r="F170" i="1"/>
  <c r="F169" i="1"/>
  <c r="F160" i="1"/>
  <c r="F159" i="1"/>
  <c r="F158" i="1"/>
  <c r="F157" i="1"/>
  <c r="F156" i="1"/>
  <c r="F152" i="1"/>
  <c r="F151" i="1"/>
  <c r="F150" i="1"/>
  <c r="F149" i="1"/>
  <c r="F148" i="1"/>
  <c r="F147" i="1"/>
  <c r="F146" i="1"/>
  <c r="F145" i="1"/>
  <c r="F144" i="1"/>
  <c r="F143" i="1"/>
  <c r="D140" i="1"/>
  <c r="F140" i="1" s="1"/>
  <c r="F139" i="1"/>
  <c r="F141" i="1" s="1"/>
  <c r="D139" i="1"/>
  <c r="F136" i="1"/>
  <c r="F135" i="1"/>
  <c r="F134" i="1"/>
  <c r="F133" i="1"/>
  <c r="F132" i="1"/>
  <c r="F131" i="1"/>
  <c r="F130" i="1"/>
  <c r="F127" i="1"/>
  <c r="F126" i="1"/>
  <c r="F118" i="1"/>
  <c r="F119" i="1" s="1"/>
  <c r="F120" i="1" s="1"/>
  <c r="F121" i="1" s="1"/>
  <c r="F122" i="1" s="1"/>
  <c r="F117" i="1"/>
  <c r="F109" i="1"/>
  <c r="F108" i="1"/>
  <c r="F107" i="1"/>
  <c r="F106" i="1"/>
  <c r="F105" i="1"/>
  <c r="F104" i="1"/>
  <c r="F103" i="1"/>
  <c r="F99" i="1"/>
  <c r="F98" i="1"/>
  <c r="F95" i="1"/>
  <c r="F96" i="1" s="1"/>
  <c r="F87" i="1"/>
  <c r="F86" i="1"/>
  <c r="F85" i="1"/>
  <c r="F84" i="1"/>
  <c r="F83" i="1"/>
  <c r="F82" i="1"/>
  <c r="F81" i="1"/>
  <c r="F80" i="1"/>
  <c r="F79" i="1"/>
  <c r="F78" i="1"/>
  <c r="F75" i="1"/>
  <c r="F74" i="1"/>
  <c r="F73" i="1"/>
  <c r="F72" i="1"/>
  <c r="F71" i="1"/>
  <c r="F70" i="1"/>
  <c r="F67" i="1"/>
  <c r="F66" i="1"/>
  <c r="F68" i="1" s="1"/>
  <c r="F58" i="1"/>
  <c r="F57" i="1"/>
  <c r="F56" i="1"/>
  <c r="F55" i="1"/>
  <c r="F54" i="1"/>
  <c r="F53" i="1"/>
  <c r="F52" i="1"/>
  <c r="F51" i="1"/>
  <c r="F50" i="1"/>
  <c r="F48" i="1"/>
  <c r="F47" i="1"/>
  <c r="F46" i="1"/>
  <c r="F45" i="1"/>
  <c r="F44" i="1"/>
  <c r="F43" i="1"/>
  <c r="F42" i="1"/>
  <c r="F41" i="1"/>
  <c r="F40" i="1"/>
  <c r="F39" i="1"/>
  <c r="F38" i="1"/>
  <c r="F36" i="1"/>
  <c r="F35" i="1"/>
  <c r="F34" i="1"/>
  <c r="F33" i="1"/>
  <c r="F32" i="1"/>
  <c r="F31" i="1"/>
  <c r="F30" i="1"/>
  <c r="F29" i="1"/>
  <c r="F28" i="1"/>
  <c r="F27" i="1"/>
  <c r="F26" i="1"/>
  <c r="F25" i="1"/>
  <c r="F24" i="1"/>
  <c r="F23" i="1"/>
  <c r="F22" i="1"/>
  <c r="F21" i="1"/>
  <c r="F20" i="1"/>
  <c r="F19" i="1"/>
  <c r="F16" i="1"/>
  <c r="F15" i="1"/>
  <c r="F17" i="1" s="1"/>
  <c r="F12" i="1"/>
  <c r="F11" i="1"/>
  <c r="F10" i="1"/>
  <c r="D7" i="1"/>
  <c r="F7" i="1" s="1"/>
  <c r="D6" i="1"/>
  <c r="F6" i="1" s="1"/>
  <c r="F128" i="1" l="1"/>
  <c r="F491" i="1"/>
  <c r="F513" i="1"/>
  <c r="F476" i="1"/>
  <c r="F9" i="1"/>
  <c r="F100" i="1"/>
  <c r="F431" i="1"/>
  <c r="F464" i="1"/>
  <c r="F257" i="1"/>
  <c r="F13" i="1"/>
  <c r="F301" i="1"/>
  <c r="F342" i="1"/>
  <c r="F597" i="1"/>
  <c r="F556" i="1"/>
  <c r="F161" i="1"/>
  <c r="F585" i="1"/>
  <c r="F598" i="1" s="1"/>
  <c r="F59" i="1"/>
  <c r="F456" i="1"/>
  <c r="F505" i="1"/>
  <c r="F76" i="1"/>
  <c r="F137" i="1"/>
  <c r="F338" i="1"/>
  <c r="F200" i="1"/>
  <c r="F201" i="1" s="1"/>
  <c r="F316" i="1"/>
  <c r="F440" i="1"/>
  <c r="F465" i="1" s="1"/>
  <c r="F466" i="1" s="1"/>
  <c r="F529" i="1"/>
  <c r="F530" i="1" s="1"/>
  <c r="F330" i="1"/>
  <c r="F609" i="1"/>
  <c r="F610" i="1" s="1"/>
  <c r="F567" i="1"/>
  <c r="F88" i="1"/>
  <c r="F236" i="1"/>
  <c r="F241" i="1" s="1"/>
  <c r="F354" i="1"/>
  <c r="F355" i="1" s="1"/>
  <c r="F110" i="1"/>
  <c r="F153" i="1"/>
  <c r="F290" i="1"/>
  <c r="F312" i="1"/>
  <c r="F487" i="1"/>
  <c r="F171" i="1"/>
  <c r="F283" i="1"/>
  <c r="F273" i="1"/>
  <c r="F175" i="1"/>
  <c r="F545" i="1"/>
  <c r="F546" i="1" s="1"/>
  <c r="F547" i="1" s="1"/>
  <c r="F548" i="1" s="1"/>
  <c r="F182" i="1"/>
  <c r="D383" i="1"/>
  <c r="F383" i="1" s="1"/>
  <c r="D395" i="1"/>
  <c r="D183" i="1"/>
  <c r="F183" i="1" s="1"/>
  <c r="F401" i="1"/>
  <c r="F380" i="1"/>
  <c r="F392" i="1"/>
  <c r="D381" i="1"/>
  <c r="F381" i="1" s="1"/>
  <c r="D384" i="1"/>
  <c r="F111" i="1" l="1"/>
  <c r="F112" i="1" s="1"/>
  <c r="F113" i="1" s="1"/>
  <c r="F114" i="1" s="1"/>
  <c r="F60" i="1"/>
  <c r="F61" i="1" s="1"/>
  <c r="F62" i="1" s="1"/>
  <c r="F274" i="1"/>
  <c r="F611" i="1"/>
  <c r="F612" i="1" s="1"/>
  <c r="F613" i="1" s="1"/>
  <c r="F614" i="1" s="1"/>
  <c r="F89" i="1"/>
  <c r="F90" i="1" s="1"/>
  <c r="F91" i="1" s="1"/>
  <c r="F184" i="1"/>
  <c r="F291" i="1"/>
  <c r="F343" i="1"/>
  <c r="F356" i="1" s="1"/>
  <c r="F357" i="1" s="1"/>
  <c r="F518" i="1"/>
  <c r="F531" i="1" s="1"/>
  <c r="F532" i="1" s="1"/>
  <c r="F533" i="1" s="1"/>
  <c r="F534" i="1" s="1"/>
  <c r="F185" i="1"/>
  <c r="F275" i="1"/>
  <c r="F162" i="1"/>
  <c r="F163" i="1" s="1"/>
  <c r="F358" i="1"/>
  <c r="F359" i="1" s="1"/>
  <c r="F467" i="1"/>
  <c r="F468" i="1" s="1"/>
  <c r="F292" i="1"/>
  <c r="F293" i="1"/>
  <c r="D400" i="1"/>
  <c r="F400" i="1" s="1"/>
  <c r="F384" i="1"/>
  <c r="D387" i="1"/>
  <c r="D408" i="1"/>
  <c r="F408" i="1" s="1"/>
  <c r="F395" i="1"/>
  <c r="F164" i="1" l="1"/>
  <c r="F165" i="1" s="1"/>
  <c r="D396" i="1"/>
  <c r="F396" i="1" s="1"/>
  <c r="F422" i="1" s="1"/>
  <c r="F423" i="1" s="1"/>
  <c r="F424" i="1" s="1"/>
  <c r="F425" i="1" s="1"/>
  <c r="F387" i="1"/>
  <c r="F276" i="1"/>
  <c r="F277" i="1" s="1"/>
  <c r="F615" i="1" l="1"/>
</calcChain>
</file>

<file path=xl/sharedStrings.xml><?xml version="1.0" encoding="utf-8"?>
<sst xmlns="http://schemas.openxmlformats.org/spreadsheetml/2006/main" count="1319" uniqueCount="358">
  <si>
    <t>BILL OF QUANTITIES- CONSTRUCTION AND REHABILITATION OF WASH FACILITIES IN KAMONYI, NYARUGENGE, GASABO, KICUKIRO DISTRICTS</t>
  </si>
  <si>
    <t>#</t>
  </si>
  <si>
    <t>DESCRIPTION OF WORKS</t>
  </si>
  <si>
    <t>Unit</t>
  </si>
  <si>
    <t>Qty</t>
  </si>
  <si>
    <t>P.U(FRW)</t>
  </si>
  <si>
    <t>P.T(FRW)</t>
  </si>
  <si>
    <t xml:space="preserve">PRELIMINARY WORKS </t>
  </si>
  <si>
    <t xml:space="preserve">Installation and site closing at the end of works, including preparation of the site according to technical specifications; mobilization of the material and its transport on the site, installation of the site, storage, guarding, including the toilet of the personnel. Site preparation also includes, site clearance, removal of top soil, levelling or any shaping necessary to the installations of the site together with all the cut and fill necessary to this end and putting in place two metalic site billboards according to the client's instructions, and including all accruals. The estimated cost for this item is maintained all through to the completion of the works. </t>
  </si>
  <si>
    <t>km</t>
  </si>
  <si>
    <t xml:space="preserve"> Study review, drawings of the site plan, drawings of particular details, longitudinal profiles, hydraulic works to perform execution, including all accruals.</t>
  </si>
  <si>
    <t>SUBTOTAL FOR PRELIMINARIES</t>
  </si>
  <si>
    <t xml:space="preserve"> Supply and installation of pipelines/ Earthwork by excavation and backfilling</t>
  </si>
  <si>
    <t>Trench excavation and backfilling for pipeline in the  ground up to 1.10 m depth , including all accruals</t>
  </si>
  <si>
    <t>m</t>
  </si>
  <si>
    <t>Preparing notches of the tanks and installation of all  Required Valve at the new proposed tank including Installation of foot strainer and all accruals</t>
  </si>
  <si>
    <t>Ls</t>
  </si>
  <si>
    <t>Supply, lay and installation of gangaah pipe (HDPE DN50 PN25) including all fittings and accessories</t>
  </si>
  <si>
    <t>S/total for pipeworks</t>
  </si>
  <si>
    <t>Extension of Cyabasatsi Pumping station</t>
  </si>
  <si>
    <t>Construction of pump house including concrete for abutment  for motor pumps testing &amp; commissioning and all accruals</t>
  </si>
  <si>
    <t>ls</t>
  </si>
  <si>
    <t>Supply and installattion of electromecanical equipment including pump of (H=206 m, Q=2l/sec), with relevant motors, control pannel, surge vessel, and all accessories, fittings, installation, testing &amp; commissioning and all accruals</t>
  </si>
  <si>
    <t>pce</t>
  </si>
  <si>
    <t>S/total for pumping station</t>
  </si>
  <si>
    <t>Construction of a reservoir of 50 m3 capacity</t>
  </si>
  <si>
    <t>Terracing, digging, cutting, excavation, backfilling, overlay of surplus soil and land remediation, including all acruals (D)</t>
  </si>
  <si>
    <t>m3</t>
  </si>
  <si>
    <t>Hardcore (stones pitching) of 30 cm with voids full with cement and sand mortar mix of ratio 1 to 10 respectively, saturated with water (D).</t>
  </si>
  <si>
    <t>Blind concrete class C, thickness 5 cm (D).</t>
  </si>
  <si>
    <t>Hydraulic reinforced concrete for the base (D).</t>
  </si>
  <si>
    <t>Reinforced concrete for roof slab and beams ,class A (D).</t>
  </si>
  <si>
    <t>Concrete for the reservoir walls (elevations). (dosage 350 kg/m3)</t>
  </si>
  <si>
    <t>Coating of the internal face of wall of the tank with 3 hydrafuges water proofing coats (D).</t>
  </si>
  <si>
    <t>m2</t>
  </si>
  <si>
    <t>Supply and coating the faces of the tank with 3 layers of "Sikalatex" paint (D).</t>
  </si>
  <si>
    <t>Plaster on the upper side of roof slab with a rough mortar class B (D).</t>
  </si>
  <si>
    <t>Supply and fix damp proof course between  the roof slab, the wall and the beam of support (D).</t>
  </si>
  <si>
    <t>Supply and fix of the metallic cover of 80 x 80 x 0,3 cm with a ventilation shaft at the top and a mosquito screen</t>
  </si>
  <si>
    <t>Item</t>
  </si>
  <si>
    <t>Supply a portable aluminium ladder, the step=25cm and total length = 3 meter (D).</t>
  </si>
  <si>
    <t>Water proof seal of width 35cm/water stop</t>
  </si>
  <si>
    <t xml:space="preserve">Protection of the cover slab with roofing, bitumen and gravel </t>
  </si>
  <si>
    <t>Water proof up to a height of 500mm</t>
  </si>
  <si>
    <t>Realization of 6 Ø50mm pipes for the evacuation of rainwater from the top slap of reservoir .</t>
  </si>
  <si>
    <t>Aeration of reservoir in reinforced concrete of 7cm thick with mosquito net as detailed to drawings</t>
  </si>
  <si>
    <t>External plastering 2.5cm with tylorien mixed with 400kg/m3</t>
  </si>
  <si>
    <t>INSPECTION CHAMBER</t>
  </si>
  <si>
    <t>Terracing, digging, cutting, excavation, backfilling, overlay of surplus soil and land remediation, including all acruals €</t>
  </si>
  <si>
    <t>Hardcore (stones pitching) of 20 cm with a filling of 1:10  cement sand mortar mix, saturated with water (E).</t>
  </si>
  <si>
    <t>Blind concrete class C, thickness 5 cm €.</t>
  </si>
  <si>
    <t>Reinforced concrete for base slab and  roof slab ,class A</t>
  </si>
  <si>
    <t>Lateral walls in stones masonry jointed with a mortar of  class D</t>
  </si>
  <si>
    <t>Coating of the internal side of wall of the inspection chamber with 3 layers of plaster of 300 kg ciment mixture €</t>
  </si>
  <si>
    <t>Plaster on upper side of the slab with a rough mortar class B (E).</t>
  </si>
  <si>
    <t>Supply and fix the damp proof course between  the roof slab, the wall and the beam of support €.</t>
  </si>
  <si>
    <t>Supply and fix of fiberglass A15 cover 600 mm x 600 mm</t>
  </si>
  <si>
    <t>item</t>
  </si>
  <si>
    <t>Supply and fix an  iron  ladder for interior access embedded in the wall, painted with 3 layers of rust preventive paint, the step=25cm</t>
  </si>
  <si>
    <t>lm</t>
  </si>
  <si>
    <t>Supply and installation of all DI (ductile iron) Hydraulic equipments and DI fittings including strainer and water meter at every outlet pipe.</t>
  </si>
  <si>
    <t>REJECTION WORK</t>
  </si>
  <si>
    <t>Terracing, digging, cutting, excavation, backfilling, overlay of surplus soil and land remediation, including all acruals (F).</t>
  </si>
  <si>
    <t>Hardcore (Stones pitching) of 20 cm with a filling of 1:10  cement sand mortar mix, saturated with water</t>
  </si>
  <si>
    <t>Blind concrete class C, thickness 5 cm (F).</t>
  </si>
  <si>
    <t>Reinforced concrete class A, for base slab</t>
  </si>
  <si>
    <t>Masonry walls in hardcore, with fair face pointed at the joints</t>
  </si>
  <si>
    <t>Coating of walls with 3 layers of plaster of 300 kg cement mixture (F).</t>
  </si>
  <si>
    <t>Soakaway pit 1 m3, full of gravel and hardcore (stones pitching) F</t>
  </si>
  <si>
    <t>Woven wire fencing 2m height bound on metallic poles (40x40mm) 2,50 m equidistant and anchoring in a hardcore and cement mortar foundation (1,20 m height) along the outline of the plot (04) and spreading gravel in compound</t>
  </si>
  <si>
    <t>Mesh gate stretched on a metal tubes framework (4,0x2,0 m) for  access inside the parcel, including stones masonry columns for fixing (04).</t>
  </si>
  <si>
    <t>S/total for one reservoir</t>
  </si>
  <si>
    <t>TOTAL FOR for CYERU HC (RWF)</t>
  </si>
  <si>
    <t> </t>
  </si>
  <si>
    <t>Tax 18%</t>
  </si>
  <si>
    <t>General total for CYERU HC (RWF)</t>
  </si>
  <si>
    <t>BILL OF QUANTITIES WASH INTRA-FACILITY INSTALLATION AT CYERU HC</t>
  </si>
  <si>
    <t>Installation and site closing at the end of works, including the transport of materials and equipment necessary to perform works, including all accruals</t>
  </si>
  <si>
    <t>WATER SUPPLY NETWORK CONNECTION AND INSTALLATION OF INTRA-FACILITY INFRASTRUCTURES</t>
  </si>
  <si>
    <t>Partial Rehabilitation and replacement of all hydraulic equipment and Fittings for hand wash basins (ankle operated faucet water tap, angle valves, pipes, flexible hose including installation , testing &amp; commissioning and all accruals).</t>
  </si>
  <si>
    <t>Total Rehabilitation of hand wash basins (wash basins, ankle operated faucet water tap, angle valves, pipes, flexible hose including installation , testing &amp; commissioning and all accruals</t>
  </si>
  <si>
    <t>Supply and installation of new single hand wash basins including all hydraulic equipment and Fittings (hand wash basins, ankle operated faucet water tap, angle valves, pipes including installation ,testing &amp; commissioning and all accruals</t>
  </si>
  <si>
    <t>Supply and installation of new double hand wash basins including all hydraulic equipment and Fittings (hand wash basins, ankle operated faucet water tap, angle valves, pipes including installation ,testing &amp; commissioning and all accruals</t>
  </si>
  <si>
    <t xml:space="preserve">Supply and installation of all required PPR pipes (3/4") including all necessary fittings, excavation and backfilling, site restoration, pipe covers, and holder, and associated accessories. The scope includes installing extension of existing pipeline, as well as  partial rehabilitation of existing pipeline plumbing system where required. The work also includes testing &amp; commissioning and all accruals ensuring full functioning upon completion. </t>
  </si>
  <si>
    <t>Supply and installation of all required evacuation pipes PVC 63 PN6 to the nearby septic tank including all necessary fittings, excavation and backfilling, site restoration, installation ,testing &amp; commissioning and all accruals</t>
  </si>
  <si>
    <t>SUBTOTAL FOR hand wash basins</t>
  </si>
  <si>
    <t>Supply and installation of elevated plastic tank 10 m3 for clean water at Cyeru health center</t>
  </si>
  <si>
    <t>Ground preparation and excavation up to hardcore soil layor, deepth at least of 60Cm (depends on location)</t>
  </si>
  <si>
    <t>Concrete stands to mount on poles holding reservoir tank</t>
  </si>
  <si>
    <t xml:space="preserve"> m3 </t>
  </si>
  <si>
    <t>Stone masonry stand to lay on a storage tank</t>
  </si>
  <si>
    <t>Supply and installation of a 10 m3 plastic water reservoir at 7m of height</t>
  </si>
  <si>
    <t>Pc</t>
  </si>
  <si>
    <t>RHS 80x40x1.5mm thick diagonal support of tank structure coated with paints against erosion, fixed in mass concrete</t>
  </si>
  <si>
    <t>Lm</t>
  </si>
  <si>
    <t>RHS 40x40x1.5mm thick diagonal support of tank structure coated with paints against erosion, fixed in mass concrete</t>
  </si>
  <si>
    <t>RHS 30x30x1.5mm thick transversalaas tank base support coated with paints against erosion, fixed in mass concrete</t>
  </si>
  <si>
    <t>Supply and installation of metal steel sheet 1.5mm at the base of the tank including coating with paints against erosion and all accruals</t>
  </si>
  <si>
    <t>Supply and installation of hydraulic equipment including washout, float valves , pipes, bend, union,ball valves,niples, teflons,including installation , testing &amp; commissioning and all accruals</t>
  </si>
  <si>
    <t>Excavations of a 1m DIA 16 deep soak pit and filling inside stones,Construction of a 1m high/300mm thick stone masonry protection wall on the top part of the soakpit up to the ground level</t>
  </si>
  <si>
    <t xml:space="preserve">S/Total for one tank at Cyeru HC </t>
  </si>
  <si>
    <t xml:space="preserve">TOTAL FOR INTRA-FACILITY INSTALLATION AT CYERU HC (ALL TAXES EXCLUSIVE)  (RWF)  </t>
  </si>
  <si>
    <t xml:space="preserve">General total for INTRA-FACILITY INSTALLATION AT CYERU (ALL TAXES INCLUSIVE) (RWF)  </t>
  </si>
  <si>
    <t>BILL OF QUANTITIES FOR REHABILITATION OF 1 HAND-WASHING FACILITY AT CYERU HC</t>
  </si>
  <si>
    <t>PRELIMINARY EARTHWORKS</t>
  </si>
  <si>
    <t>Site installations and dismissal/ transportation of equipments including cleaning and all accruals</t>
  </si>
  <si>
    <t xml:space="preserve">S/Total </t>
  </si>
  <si>
    <t>PLUMBING WORK</t>
  </si>
  <si>
    <t>Rehabilitation and replacement of all hydraulic equipment and Fittings (ankle operated faucet water tap, angle valves, pipes including installation , testing &amp; commissioning and all accruals</t>
  </si>
  <si>
    <t>Supply and installation of soap dispenser and holder including 20l liquid soap and all accruals</t>
  </si>
  <si>
    <t>STORAGE TANK</t>
  </si>
  <si>
    <t>Provision of plastic tank, 2m3</t>
  </si>
  <si>
    <t>Supply and installation of a 2 m3 plastic water reservoir at 3m of height</t>
  </si>
  <si>
    <t>RHS 80x40x1.5mm thick diagonal support of tank structure</t>
  </si>
  <si>
    <t>RHS 40x40x1.5mm thick diagonal support of tank structure</t>
  </si>
  <si>
    <t xml:space="preserve">RHS 30x30x1.5mm thick transversalaas tank base support </t>
  </si>
  <si>
    <t>Supply and installation of hydraulic equipment including float valves , pipes, bend, union,ball valves,niples, teflons,including installation , testing &amp; commissioning and all accruals</t>
  </si>
  <si>
    <t>TOTAL FOR HAND WASH REHABILITATION</t>
  </si>
  <si>
    <t xml:space="preserve">General total for 1 handwashing facility at Cyeru HC (ALL TAXES EXCLUSIVE) (RWF) </t>
  </si>
  <si>
    <t>18% tax</t>
  </si>
  <si>
    <t xml:space="preserve">General total for 1 handwashing facility at Cyeru HC  (ALL TAXES INCLUSIVE)(RWF)  </t>
  </si>
  <si>
    <t>BOQ : IMPROVEMENT OF  SANITATION FACILITIES AT CYERU HC</t>
  </si>
  <si>
    <t>Designation</t>
  </si>
  <si>
    <t xml:space="preserve">QTY </t>
  </si>
  <si>
    <t>Total Price</t>
  </si>
  <si>
    <t xml:space="preserve">Minor rehabilitation of flushing toilets including connection to the piped network and replace all fittings.The work also includes testing &amp; commissioning and all accruals ensuring full functioning upon completion. 4 units at Cyeru HC. </t>
  </si>
  <si>
    <t xml:space="preserve">Minor rehabilitation,  replace all plumbing fittings, and extention of piped network to ensure shower rooms at  Cyeru (4 unit) are connected to a water supply network connection .The work also includes testing &amp; commissioning and all accruals ensuring full functioning upon completion. </t>
  </si>
  <si>
    <t xml:space="preserve">SubTotal- provision of sanitation services </t>
  </si>
  <si>
    <t>TOTAL FOR PROVISION OF Sanitation facilitities at Cyeru HC</t>
  </si>
  <si>
    <t>General total for  provision of sanitation facilitities at Cyeru with tax inclusive (RWF)</t>
  </si>
  <si>
    <t>BILL OF QUANTITIES FOR CONSTRUCTION OF LAUNDRY AT CYERU HC</t>
  </si>
  <si>
    <t>Site installations and dismissal/ transportation of equipments</t>
  </si>
  <si>
    <t xml:space="preserve">Site clearing ,earthworks cut, fill and evacuation or overlay of the surplus soils, including all accruals </t>
  </si>
  <si>
    <t>S/Total1</t>
  </si>
  <si>
    <t>MASONRY AND ELEVATION</t>
  </si>
  <si>
    <t>Blind concrete class C, thickness 5 cm</t>
  </si>
  <si>
    <r>
      <t>m</t>
    </r>
    <r>
      <rPr>
        <vertAlign val="superscript"/>
        <sz val="11"/>
        <color rgb="FF000000"/>
        <rFont val="Gill Sans MT"/>
        <family val="2"/>
      </rPr>
      <t>3</t>
    </r>
  </si>
  <si>
    <t>Base Hardcore (stones pitching) of 30 cm with a filling of 1:10  cement sand mortar mix, saturated with water</t>
  </si>
  <si>
    <t>Floor finishing on the upper side of the hardcore base, and on side pavement  as pavemnet finishing with a rough mortar class B</t>
  </si>
  <si>
    <r>
      <t>m</t>
    </r>
    <r>
      <rPr>
        <vertAlign val="superscript"/>
        <sz val="11"/>
        <color rgb="FF000000"/>
        <rFont val="Gill Sans MT"/>
        <family val="2"/>
      </rPr>
      <t>2</t>
    </r>
  </si>
  <si>
    <t>Side pavament Hardcore base of 15cm thickness</t>
  </si>
  <si>
    <t xml:space="preserve">Supply and fix the damp proof course between  the floor and the wall </t>
  </si>
  <si>
    <t>Walls in burnt blick masonry jointed with a mortar of  class D for the entire structure including the inspection manhole chamber</t>
  </si>
  <si>
    <t xml:space="preserve">Reinforced concrete Bassin base slab </t>
  </si>
  <si>
    <t>S/Total 2</t>
  </si>
  <si>
    <t>TILES WORK</t>
  </si>
  <si>
    <t>Supply and fix tiles for Tile finishing on hand washing walls, Bassin base and basins sink vassels( Lavabo) with all accessories+Flexible pipes to fix on basins sink</t>
  </si>
  <si>
    <t>Binders for  tiles fixtures</t>
  </si>
  <si>
    <t>S/Total 4</t>
  </si>
  <si>
    <t>Water connection (1") to the nearby water tank</t>
  </si>
  <si>
    <t>Wasted water evacuation PVC pipe ND 63 PN 10</t>
  </si>
  <si>
    <t xml:space="preserve">Construction of soak pits </t>
  </si>
  <si>
    <t xml:space="preserve">Supply and installation of water tap with high quality in aluminum or chrome or gold with at least nominal flow rate of 1.5m3/h and max admissible pressure of 16 bar (with its accessories and accruals) </t>
  </si>
  <si>
    <t xml:space="preserve">Supply and installation of Galvanized water valve 3/4" with at least nominal flow rate of 1.5m3/h and max admissible pressure of 16 bar in conformity with European standards and ISO 4064 </t>
  </si>
  <si>
    <t xml:space="preserve">Supply and installation of  elbow 1" with at least nominal flow rate of 1.5m3/h and max admissible pressure of 16 bar in conformity with European standards and ISO 4064 </t>
  </si>
  <si>
    <t xml:space="preserve">Supply and installation of Tee reducer 1" to 1/2" with at least nominal flow rate of 1.5m3/h and max admissible pressure of 16 bar in conformity with European standards and ISO 4064 </t>
  </si>
  <si>
    <t xml:space="preserve">Supply and installation of  Unions, nipples and a adapter to galvanized hydrsulic fittings 1" and 3/4" with at least nominal flow rate of 1.5m3/h and max admissible pressure of 16 bar in conformity with European standards and ISO 4064 </t>
  </si>
  <si>
    <t xml:space="preserve">Supply and installation of angle valves (vannes d'equere) 1/2" </t>
  </si>
  <si>
    <t>Hydraulic equipments fixture( installation , testing &amp; commissioning/Plumber)</t>
  </si>
  <si>
    <t>S/Total 5</t>
  </si>
  <si>
    <t xml:space="preserve">SOAK WAY PIT WORKS </t>
  </si>
  <si>
    <t>Soakaway pit filled with clean stones</t>
  </si>
  <si>
    <t>Rip-rap( stone pitch to fill in the excavated pit ( Medium, Small &amp; River gravels)</t>
  </si>
  <si>
    <t>Masonry works in burnt  on upper part of the pit</t>
  </si>
  <si>
    <t xml:space="preserve">Cover of the soak away pit in a reinforced concrete (d=1.40 m), </t>
  </si>
  <si>
    <t>Supply and installation of top ventilation PVC 90 pipe of 2.5m height on the soakaway pit concrete cover</t>
  </si>
  <si>
    <t>S/Total 6</t>
  </si>
  <si>
    <t>TOTAL - FOR ONE LAUNDRY AT CYERU HC</t>
  </si>
  <si>
    <t>General total for one laundry at CYERU HC (RWF)</t>
  </si>
  <si>
    <t>BILL OF QUANTITIES CONNECTION OF KARANGARA HC TO MBIZI WSS IN KAMONYI DISTRICT</t>
  </si>
  <si>
    <t>Excavation and backfilling  of Trenche  with 1.1 m deep , including compacting and all accruals.</t>
  </si>
  <si>
    <t>Supply and Installation of Concrete Terminals (painted blue and numbered) on the route of the pipeline, dim.0.15 * 0.15 * 0.8m , every 100m and at each change of direction (elbow position)</t>
  </si>
  <si>
    <t xml:space="preserve">S/total </t>
  </si>
  <si>
    <t>Supply and installation of pipelines including all accruals</t>
  </si>
  <si>
    <t>HDPE75 mm PN 16</t>
  </si>
  <si>
    <t>HDPE 32 mm PN 16</t>
  </si>
  <si>
    <t>Casing with GS 4'' pipe</t>
  </si>
  <si>
    <t>Casing with GS 2'' pipe</t>
  </si>
  <si>
    <t>Solid mass in stone masonry for pipes stabilization</t>
  </si>
  <si>
    <t>Pressure test</t>
  </si>
  <si>
    <t>Desinfection of network with chlorine</t>
  </si>
  <si>
    <t>S/total for Pipeworks</t>
  </si>
  <si>
    <t>Construction of one Washout #(1.6×1.6×1.2m)</t>
  </si>
  <si>
    <t xml:space="preserve">Earthworks cut, fill and evacuation or overlay of the surplus soils, including all accruals </t>
  </si>
  <si>
    <t>Hardcore (stones pitching) of 30 cm with a filling of 1:10  cement sand mortar mix, saturated with water</t>
  </si>
  <si>
    <t>Reinforced concrete for base slab  ,class A</t>
  </si>
  <si>
    <t>Reinforced concrete for roof slab ,class A</t>
  </si>
  <si>
    <t>walls in stones masonry jointed with a mortar of  class D</t>
  </si>
  <si>
    <t>Coating of the internal face of wall of the inspection chamber with 3 layers of plaster of 300 kg</t>
  </si>
  <si>
    <t>Plaster on the upper side of roof slab with a rough mortar class B</t>
  </si>
  <si>
    <t>Supply and fix the damp proof course between  the roof slab, the wall and the beam of support</t>
  </si>
  <si>
    <t>Supply and fix an iron  ladder for interior access embedded in the wall, painted with 3 layers of paint "rust preventive", the step=25cm</t>
  </si>
  <si>
    <t>Supply and installation of hydraulic equipment and Fittings for connection of washout</t>
  </si>
  <si>
    <t>LS</t>
  </si>
  <si>
    <t>Rejection works including all accruals</t>
  </si>
  <si>
    <t>S/total one chambers</t>
  </si>
  <si>
    <t>S/total for inspection chamber</t>
  </si>
  <si>
    <t>Construction of a reservoir of 20 m3 capacity</t>
  </si>
  <si>
    <t>Terracing, digging, cutting, excavation, backfilling, overlay of surplus soil and land remediation, including all acruals</t>
  </si>
  <si>
    <t>Hardcore (stones pitching) of 30 cm with voids full with cement and sand mortar mix of ratio 1 to 10 respectively, saturated with water</t>
  </si>
  <si>
    <t>Hydraulic reinforced concrete for the base</t>
  </si>
  <si>
    <t>Reinforced concrete for roof slab and beams ,class A</t>
  </si>
  <si>
    <t>Walling with shapened stones, fair face and pointing in joints</t>
  </si>
  <si>
    <t>Coating of the internal face of wall of the tank with 3 hydrafuges water proofing coats</t>
  </si>
  <si>
    <t>Supply and coating the faces of the tank with 3 layers of "Sikalatex" paint</t>
  </si>
  <si>
    <t>Supply and fix damp proof course between  the roof slab, the wall and the beam of support</t>
  </si>
  <si>
    <t>Supply a portable aluminium ladder, the step=25cm and total length = 3 meter.</t>
  </si>
  <si>
    <t>INSPECTION CHAMBER # (2.6×1.7×1m)</t>
  </si>
  <si>
    <t>Hardcore (stones pitching) of 20 cm with a filling of 1:10  cement sand mortar mix, saturated with water</t>
  </si>
  <si>
    <t>Coating of the internal side of wall of the inspection chamber with plaster of 300 kg/m3 ciment mixture</t>
  </si>
  <si>
    <t>Plaster on upper side of the slab with a rough mortar class B</t>
  </si>
  <si>
    <t>Supply and Installation of all necessary Hydraulic equipments and fittings including strainer and water meter at every outlet pipe.</t>
  </si>
  <si>
    <t>Supply and installation of all necessary Hydraulic equipments and fittings including strainer and water meter at every outlet pipe.</t>
  </si>
  <si>
    <t>REJECTION WORK # (1.45×1.55×1m)</t>
  </si>
  <si>
    <t xml:space="preserve">Masonry walls in hardcore, with fair face pointed at the joints </t>
  </si>
  <si>
    <t>Coating of walls plaster of 300 kg/m3 cement mixture</t>
  </si>
  <si>
    <t>Soakaway pit 1 m3, full of gravel and hardcore (stones pitching)</t>
  </si>
  <si>
    <t>Connection of the extension to the existing valve chamber</t>
  </si>
  <si>
    <t>Cutting, internal and external patching and repair of the existing chamber including labor, tools and equipment and all accruals required for the connection.</t>
  </si>
  <si>
    <t>Supply and Installation of all necessary Hydraulic equipments and fittings including strainer and water meter at outlet pipe.</t>
  </si>
  <si>
    <t>S/total for the connection</t>
  </si>
  <si>
    <t>S/total for the reservoir</t>
  </si>
  <si>
    <t>Construction of Water point with double taps for community</t>
  </si>
  <si>
    <t>Reinforced concrete for roof slab  ,class A</t>
  </si>
  <si>
    <t>walls in bricks masonry jointed with a mortar of  class D</t>
  </si>
  <si>
    <t>Coating of walls with plaster of 300 kg/m3</t>
  </si>
  <si>
    <t xml:space="preserve">Supply and fix the damp proof course between  the roof slab and the wall </t>
  </si>
  <si>
    <t xml:space="preserve">Supply and fix of the metallic cover of 50X50X0.3 cm  </t>
  </si>
  <si>
    <t>Supply and installation of all hydraulic equipment and Fittings including volumetric water meter with at least nominal flow rate of 1.5m3/h and max admissible pressure of 16 bar</t>
  </si>
  <si>
    <t>Construction of concrete slop (rampe) friendly to PWD</t>
  </si>
  <si>
    <t>Construction of  Euphobians fence around the Tap</t>
  </si>
  <si>
    <t>S/total for one water point.</t>
  </si>
  <si>
    <t>Construction of one water points with 3 taps for KARANGARA HC</t>
  </si>
  <si>
    <r>
      <t>m</t>
    </r>
    <r>
      <rPr>
        <vertAlign val="superscript"/>
        <sz val="11"/>
        <color rgb="FF000000"/>
        <rFont val="Arial"/>
        <family val="2"/>
      </rPr>
      <t>3</t>
    </r>
  </si>
  <si>
    <t>Hardcore of 30 cm with a filling of  cement and sand mortar 1:10 mixture, saturated with water</t>
  </si>
  <si>
    <t>Reinforced concrete for base  ,class A</t>
  </si>
  <si>
    <t>Reinforced concrete for roof of slab on watermeter chamber, class A</t>
  </si>
  <si>
    <t>walls in stones masonry with fair face jointed with a mortar of  class D</t>
  </si>
  <si>
    <t>Coating of walls with 3 layers of plaster of 300 kg cement mixture</t>
  </si>
  <si>
    <r>
      <t>m</t>
    </r>
    <r>
      <rPr>
        <vertAlign val="superscript"/>
        <sz val="11"/>
        <color rgb="FF000000"/>
        <rFont val="Arial"/>
        <family val="2"/>
      </rPr>
      <t>2</t>
    </r>
  </si>
  <si>
    <t>Supply and fix the damp proof course between  the roof slab and the walls</t>
  </si>
  <si>
    <t xml:space="preserve">Supply and fix of the metallic cover of 50 x 50 x 0,3 cm </t>
  </si>
  <si>
    <r>
      <t>Soakaway pit 1 m</t>
    </r>
    <r>
      <rPr>
        <vertAlign val="superscript"/>
        <sz val="11"/>
        <color rgb="FF000000"/>
        <rFont val="Arial"/>
        <family val="2"/>
      </rPr>
      <t>3</t>
    </r>
    <r>
      <rPr>
        <sz val="11"/>
        <color rgb="FF000000"/>
        <rFont val="Arial"/>
        <family val="2"/>
      </rPr>
      <t>, full of gravel and hardcore (stones pitching)</t>
    </r>
  </si>
  <si>
    <t>Lump Sump</t>
  </si>
  <si>
    <t>S/total one water points</t>
  </si>
  <si>
    <t>S/total for water points</t>
  </si>
  <si>
    <t>TOTAL FOR for KARANGARA HC IN KAMONYI DISTRICT (RWF)</t>
  </si>
  <si>
    <t>General total for KARANGARA HC IN KAMONYI DISTRICT(RWF)</t>
  </si>
  <si>
    <t>BILL OF QUANTITIES WASH INTRA-FACILITY INSTALLATION AT KARANGARA HC</t>
  </si>
  <si>
    <t xml:space="preserve">Supply and installation of all required PPR pipes (3/4") including all necessary fittings, excavation and backfilling, site restoration, pipe covers, and holder, and associated accessories. The scope includes installing new pipeline, extension and total rehabilitation of existing pipeline plumbing system where required. The work also includes testing &amp; commissioning and all accruals ensuring full functioning upon completion. </t>
  </si>
  <si>
    <t xml:space="preserve">TOTAL FOR INTRA-FACILITY INSTALLATION AT KARANGARA HC (ALL TAXES EXCLUSIVE)  (RWF)  </t>
  </si>
  <si>
    <t xml:space="preserve">General total for INTRA-FACILITY INSTALLATION AT KARANGARA HC  (ALL TAXES INCLUSIVE) (RWF)  </t>
  </si>
  <si>
    <t>BILL OF QUANTITIES FOR CONSTRUCTION OF  HAND-WASHING FACILITY AT KARANGARA HC</t>
  </si>
  <si>
    <t>HAND WASHING STRUCTURE</t>
  </si>
  <si>
    <t>Stone masonry retaining wall with reinforced concrete column where necessary (to be defined by engineers)</t>
  </si>
  <si>
    <t>cum</t>
  </si>
  <si>
    <t xml:space="preserve">Connection manhole (40x40cm mahole with its door trap/Trapillon in metallic cover for water meter and inspection </t>
  </si>
  <si>
    <t>Evacuation manhole (30x30cm mahole with its removable cover for evacuated used waters)</t>
  </si>
  <si>
    <t>S/Total 3</t>
  </si>
  <si>
    <t>Water connection (1") to the nearby water supply network</t>
  </si>
  <si>
    <t>Supply and installation of hydraulic equipment and Fittings including volumetric water meter with at least nominal flow rate of 1.5m3/h and max admissible pressure of 16 bar in conformity with European standards and ISO 4064 including all accruals</t>
  </si>
  <si>
    <t>pc</t>
  </si>
  <si>
    <t xml:space="preserve">Supply and installation of pedal faucet water tap with high quality in aluminum or chrome or gold   with at least nominal flow rate of 1.5m3/h and max admissible pressure of 16 bar (with its accessories and accruals) </t>
  </si>
  <si>
    <t xml:space="preserve">Supply and installation of ankle operated faucet water tap with high quality in aluminum or chrome or gold   with at least nominal flow rate of 1.5m3/h and max admissible pressure of 16 bar (with its accessories and accruals) </t>
  </si>
  <si>
    <t>WELDING AND INSTALLATION OF METALLIC BRANDING</t>
  </si>
  <si>
    <t xml:space="preserve">RHS 40x40x1.5mm thick to hang on a a metallic panel support </t>
  </si>
  <si>
    <t>Plain metallic panel (2.8x80cm) for branding paintings of 1.5mm thick (tole plane) to post for Hygiene behavior change messages</t>
  </si>
  <si>
    <t>S/Total 7</t>
  </si>
  <si>
    <t>TOTAL - FOR ONE(1) HAND WASHING (A)</t>
  </si>
  <si>
    <t xml:space="preserve">Supply and installation of plastic tank, 2m3 </t>
  </si>
  <si>
    <t>S/Total 8</t>
  </si>
  <si>
    <t>TOTAL FOR STORAGE TANK (B)</t>
  </si>
  <si>
    <t xml:space="preserve">TOTAL OF HANDWASHING FACILITY, WATER STORAGE </t>
  </si>
  <si>
    <t>General total for 1 HWF at Karangara HC ( ALL TAXES EXCLUSIVE)(RWF)</t>
  </si>
  <si>
    <t>General total for 1 HWF at Karangara HC ( ALL TAXES  (ALL TAXES INCLUSIVE)(RWF)</t>
  </si>
  <si>
    <t xml:space="preserve">BOQ : IMPROVEMENT OF  SANITATION FACILITIES AT KARANGARA HC </t>
  </si>
  <si>
    <t xml:space="preserve">Minor rehabilitation of flushing toilets including connection to the piped network and replace all fittings.The work also includes testing &amp; commissioning and all accruals ensuring full functioning upon completion.  4 units at Karangara HC. </t>
  </si>
  <si>
    <t xml:space="preserve">Minor rehabilitation,  replace all plumbing fittings, and extention of piped network to ensure shower rooms at Karangara (2 units) are connected to a water supply network connection .The work also includes testing &amp; commissioning and all accruals ensuring full functioning upon completion. </t>
  </si>
  <si>
    <t>BoQ for constructing VIP cubicle latrines and installation of rain water tanks</t>
  </si>
  <si>
    <t>Site installation and withdrawal (cleaning), counter verification and preparation of implementation documents ( 1site)</t>
  </si>
  <si>
    <t>FF</t>
  </si>
  <si>
    <t>Plot levering</t>
  </si>
  <si>
    <t>Pit excavation up to 3.9 deep including maintaining and  supporting sides and keeping free from  water, mud and fallen materials</t>
  </si>
  <si>
    <t>Backfilling around pit wall</t>
  </si>
  <si>
    <t>Load and car away from site, surplus soil</t>
  </si>
  <si>
    <t>Blinding concrete to receive stone masonry pit walls Size: 60Cm wide and 5cm thick, ; Mixing ratio: 1:1.5:1.5</t>
  </si>
  <si>
    <t>Construction of stone masonry foundations plinth walls. Size at the top 40 cm as thickness and 3.6m High using cement mortar mixed at: 1:4</t>
  </si>
  <si>
    <t>Leveling Cement screed on pit wall with 5cm</t>
  </si>
  <si>
    <t>RC Beam on   pit wall (20x25 cm)</t>
  </si>
  <si>
    <t>Internal pit wall plastering and cement finishing with hydrofuge</t>
  </si>
  <si>
    <t>Gravel spread on the bottom area of the pit: 30cm thick layer of</t>
  </si>
  <si>
    <t xml:space="preserve">Supply of portable unoxidable metallic ladder (alminium) with 6m length, 0.5m wide, steps at spaced at 25cm minimmum </t>
  </si>
  <si>
    <t xml:space="preserve">Main RC Cover slab:  15cm thick. Concrete Mix 1:1.5:1.5 </t>
  </si>
  <si>
    <t xml:space="preserve">Removable Cover slab: 150mm thick Reinforced Concrete Mix 1:1.5:1.5 </t>
  </si>
  <si>
    <t>Trenches Foundation excavation (70cm deep, unless specified differently and according to soil resistance) for fence and shower room</t>
  </si>
  <si>
    <t>Cement Blinding under foundation (5cm) for fence and shower room</t>
  </si>
  <si>
    <t>Stone foundation 40 cm thick 80cm deep  according to soil resistancef or fence and shower room</t>
  </si>
  <si>
    <t>Roffing</t>
  </si>
  <si>
    <t>ML</t>
  </si>
  <si>
    <t xml:space="preserve">Reinforced concrete for columns. Concrete Mix 1:1.5:1.5 </t>
  </si>
  <si>
    <t xml:space="preserve">Reinforced concrete ring beams. Concrete Mix 1:1.5:1.5 </t>
  </si>
  <si>
    <t>External  and internal walling using clay burnt bricks</t>
  </si>
  <si>
    <t>Supply and fix of Concrete vent blocks</t>
  </si>
  <si>
    <t>40x60x1.5mm steel sections for roof structure</t>
  </si>
  <si>
    <t>mL</t>
  </si>
  <si>
    <t>Roof covering using BG 28 Iron sheets with all accessories (Fixing materials, steel gutters and downspouts)</t>
  </si>
  <si>
    <t>Supply and fix a 20x20x1.5mm MS gutter</t>
  </si>
  <si>
    <t>Supply and fix a 20x1.5mm fascia board</t>
  </si>
  <si>
    <t>Supply and fix a 110mm DIA PN 10 PVC dorn pipes with all accessories up to PVC rain water tanks.</t>
  </si>
  <si>
    <t xml:space="preserve">Cement plaster in two coats mix 1:3 polished patterned waterproofing plasters to approval, 40mm thick on internal plinth walls </t>
  </si>
  <si>
    <t>Cement plaster in two coats mix 1:3 polished patterned plaster to approval, 30mm thick on internal walls</t>
  </si>
  <si>
    <t>Pointing of External walls using cement mortar of a mixng ration: 1-2</t>
  </si>
  <si>
    <t>Supply and fix 110mm DIA PN 6 vent pipes (4.5m high) with all accessories as per the design</t>
  </si>
  <si>
    <t>Supply and fix 110mm DIA PN 6 vent pipes (2.8m high) with all accessories as per the design</t>
  </si>
  <si>
    <t>Supply and fix a wall mounted 2mm thick-40mm DIA Steel toilet Grab bars handles for fisabled On both sides.</t>
  </si>
  <si>
    <t>Skirting</t>
  </si>
  <si>
    <t xml:space="preserve">Screed: 50mm thick Cement mortar Floor screading </t>
  </si>
  <si>
    <t>Floor finishing with with smooth cement</t>
  </si>
  <si>
    <t>Floor finishing with with rougth cement</t>
  </si>
  <si>
    <t>Supply and fix a smart and fresh SATO plastic toilet with a self-sealing trap door for shuting out fliers, other insects and odors.</t>
  </si>
  <si>
    <t>Plastic W.C Toilet (for people with disability)</t>
  </si>
  <si>
    <t>Plaster rendering using coatings mixing ratio on urinals area: 1-3</t>
  </si>
  <si>
    <t>Painting on guttes, roof trusses and purlines</t>
  </si>
  <si>
    <t xml:space="preserve">Emulsion paint to plastered surfaces on internal walls </t>
  </si>
  <si>
    <t>90x210 Cm plain metallic door with all accessories (3 hinges, Inside and outside door lockers, inside and outside paint in 2 coats; anti rusting for the 1st coating and oil paint for the second coat with the collor selected by the client)</t>
  </si>
  <si>
    <t>90x210 Cm glazed metallic window with all accessories; paint in 2 coats; anti rusting for the 1st coating and oil paint for the second coat with the collor selected by the client)</t>
  </si>
  <si>
    <t xml:space="preserve">RCC Concrete casting using class 25 concrete for the ground gutter for urinals </t>
  </si>
  <si>
    <t>Supply and lay a 90mm DIA PN 10 Perforated PVC pipes</t>
  </si>
  <si>
    <t>Supply and lay a 90mm DIA PN 10 PVC drainage pipe with all accessories up to the pit. (Excavation of a trensh, protection of the pipe using sand, laying the pipe with all accessories and soil backfilling)</t>
  </si>
  <si>
    <t>Supply and place a gully trap installed in a well covered 500x500x3mm manhole</t>
  </si>
  <si>
    <t>Pce</t>
  </si>
  <si>
    <t>Sifons de sol</t>
  </si>
  <si>
    <t xml:space="preserve">Top cover: 100 thick RCC Concrete using class 25 concrete </t>
  </si>
  <si>
    <t>Supply and fix a 3m high  300x300x2.5mm Fire exhaust with all accessories</t>
  </si>
  <si>
    <t>Preparation of the fire base using: well compacted ground, laying 150mm thick layer of agregates mixed with a good clay soil.</t>
  </si>
  <si>
    <t>External and internal finishes by plaster rendering all using fire resistant coatings</t>
  </si>
  <si>
    <t>Construction of Retaining wall, including pointing and 50mm diameter Pipes</t>
  </si>
  <si>
    <t>Construction of hand washing facilities in burnt brick masonry ended by RC concrete (Class25) in sink form with 2 taps, sifon, connected to existing tank of constructed toilet, washwater drained to dedicated soak pit through pipes. Where there is existing water suppy, the tank should be connect inorder to facilitate the use of handwashing in dry season. (for both sides)</t>
  </si>
  <si>
    <t>ff</t>
  </si>
  <si>
    <t>SubTotal- 1 block of VIP cubicle latrines and installation of rain water tanks (one tank each block) at  Karangara HC</t>
  </si>
  <si>
    <t>TOTAL FOR PROVISION OF Sanitation facilitities in 8 Health facilities with tax exclusive</t>
  </si>
  <si>
    <t>General total for  provision of sanitation facilitities i at  Karangara with tax inclusive (RWF)</t>
  </si>
  <si>
    <t>BILL OF QUANTITIES FOR CONSTRUCTION OF LAUNDRY AT KARANGARA HC</t>
  </si>
  <si>
    <t>TOTAL - FOR ONE LAUNDRY AT KARANGARA HC</t>
  </si>
  <si>
    <t>General total forfor one laundry at KARANGARA HC (RWF)</t>
  </si>
  <si>
    <t>General total  one laundry at KARANGARA HC (RWF)</t>
  </si>
  <si>
    <t>BILL OF QUANTITIES FOR CONSTRUCTION OF  HAND-WASHING FACILITY @MARKETS AND BUS PARKS IN KIGALI CITY</t>
  </si>
  <si>
    <t>General total for handwash facilities at GIKOMERO Market, MVUZO Market, GASANZE Market, Gasanze bus station, Gahombo Market, EJOHEZA market, Cyivugiza Market, Karama Mini Market, INKUNDAMAHORO MARKET, GASHYEKERO MARKET, AGAKIRIRO KA KARAMBO, NYARURAMA MARKET, DJAMENA MARKET.</t>
  </si>
  <si>
    <t>General total ALL TAXES EXCLUSIVE (RWF)</t>
  </si>
  <si>
    <t>BILL OF QUANTITIES FOR REHABILITATION OF  HAND-WASHING FACILITIES IN KIGALI CITY</t>
  </si>
  <si>
    <t>S/Total I</t>
  </si>
  <si>
    <t>Rehabilitation and replacement of all hydraulic equipment and Fittings (ankle operated faucet water tap, angle valves, pipes including installation , testing &amp; commissioning and all accruals)</t>
  </si>
  <si>
    <t>General total for rehabilitation of handwashing facilities at KANKUBA MARKET, ITERAMBERE MARKET, KIMISAGARA MINI MARKET, KWA MUTANGANA, KWA KAZAYIRWA, MIDUHA MARKET, KARAMA MINI MARKET, DOWNTOWN BUS STATION (RWF)</t>
  </si>
  <si>
    <t>General total (RWF)</t>
  </si>
  <si>
    <t>BILL OF QUANTITIES FOR CONSTRUCTION OF  HAND-WASHING FACILITY AT  3 HCFS IN KAMONYI DISTRICT</t>
  </si>
  <si>
    <t>General total for 3 (KAMONYI,  KARAMA AND MUSAMBIRA HCs ) handwash facilities  (ALL TAXES EXCLUSIVE)(RWF)</t>
  </si>
  <si>
    <t>GENERAL TOTAL FOR LOT2 (ALL TAXES INCLUSIVE)</t>
  </si>
  <si>
    <t>General total for  3 (KAMONYI,  KARAMA AND MUSAMBIRA HCs ) handwash facilities  (ALL TAXES INCLUSIVE)(RWF)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</si>
</sst>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 &quot;* #,##0.00&quot; &quot;;&quot;-&quot;* #,##0.00&quot; &quot;;&quot; &quot;* &quot;-&quot;#&quot; &quot;;&quot; &quot;@&quot; &quot;"/>
    <numFmt numFmtId="165" formatCode="&quot; &quot;* #,##0.0&quot; &quot;;&quot; &quot;* &quot;(&quot;#,##0.0&quot;)&quot;;&quot; &quot;* &quot;-&quot;#&quot; &quot;;&quot; &quot;@&quot; &quot;"/>
    <numFmt numFmtId="166" formatCode="&quot; &quot;* #,##0&quot; &quot;;&quot; &quot;* &quot;(&quot;#,##0&quot;)&quot;;&quot; &quot;* &quot;-&quot;#&quot; &quot;;&quot; &quot;@&quot; &quot;"/>
    <numFmt numFmtId="167" formatCode="&quot; &quot;* #,##0.00&quot; &quot;;&quot; &quot;* &quot;(&quot;#,##0.00&quot;)&quot;;&quot; &quot;* &quot;-&quot;#&quot; &quot;;&quot; &quot;@&quot; &quot;"/>
    <numFmt numFmtId="168" formatCode="&quot; &quot;* #,##0&quot; &quot;;&quot;-&quot;* #,##0&quot; &quot;;&quot; &quot;* &quot;-&quot;#&quot; &quot;;&quot; &quot;@&quot; &quot;"/>
  </numFmts>
  <fonts count="17" x14ac:knownFonts="1">
    <font>
      <sz val="11"/>
      <color rgb="FF000000"/>
      <name val="Aptos Narrow"/>
      <family val="2"/>
    </font>
    <font>
      <sz val="11"/>
      <color rgb="FF000000"/>
      <name val="Aptos Narrow"/>
      <family val="2"/>
    </font>
    <font>
      <b/>
      <i/>
      <sz val="11"/>
      <color rgb="FF000000"/>
      <name val="Arial"/>
      <family val="2"/>
    </font>
    <font>
      <b/>
      <sz val="11"/>
      <color rgb="FF000000"/>
      <name val="Arial"/>
      <family val="2"/>
    </font>
    <font>
      <b/>
      <sz val="14"/>
      <color rgb="FF000000"/>
      <name val="Arial"/>
      <family val="2"/>
    </font>
    <font>
      <sz val="11"/>
      <color rgb="FF000000"/>
      <name val="Arial"/>
      <family val="2"/>
    </font>
    <font>
      <b/>
      <sz val="11"/>
      <color rgb="FF000000"/>
      <name val="Gill Sans MT"/>
      <family val="2"/>
    </font>
    <font>
      <sz val="11"/>
      <color rgb="FF000000"/>
      <name val="Gill Sans MT"/>
      <family val="2"/>
    </font>
    <font>
      <b/>
      <sz val="10"/>
      <color rgb="FF000000"/>
      <name val="Times New Roman"/>
      <family val="1"/>
    </font>
    <font>
      <sz val="10"/>
      <color rgb="FF000000"/>
      <name val="Times New Roman"/>
      <family val="1"/>
    </font>
    <font>
      <b/>
      <sz val="12"/>
      <color rgb="FF000000"/>
      <name val="Gill Sans MT"/>
      <family val="2"/>
    </font>
    <font>
      <b/>
      <sz val="12"/>
      <color rgb="FF000000"/>
      <name val="Arial"/>
      <family val="2"/>
    </font>
    <font>
      <sz val="11"/>
      <color rgb="FF000000"/>
      <name val="Times New Roman"/>
      <family val="1"/>
    </font>
    <font>
      <sz val="12"/>
      <color rgb="FF000000"/>
      <name val="Times New Roman"/>
      <family val="1"/>
    </font>
    <font>
      <vertAlign val="superscript"/>
      <sz val="11"/>
      <color rgb="FF000000"/>
      <name val="Gill Sans MT"/>
      <family val="2"/>
    </font>
    <font>
      <vertAlign val="superscript"/>
      <sz val="11"/>
      <color rgb="FF000000"/>
      <name val="Arial"/>
      <family val="2"/>
    </font>
    <font>
      <sz val="10"/>
      <color rgb="FF424242"/>
      <name val="Segoe UI"/>
      <family val="2"/>
    </font>
  </fonts>
  <fills count="5">
    <fill>
      <patternFill patternType="none"/>
    </fill>
    <fill>
      <patternFill patternType="gray125"/>
    </fill>
    <fill>
      <patternFill patternType="solid">
        <fgColor rgb="FFE97132"/>
        <bgColor rgb="FFE97132"/>
      </patternFill>
    </fill>
    <fill>
      <patternFill patternType="solid">
        <fgColor rgb="FFB5E6A2"/>
        <bgColor rgb="FFB5E6A2"/>
      </patternFill>
    </fill>
    <fill>
      <patternFill patternType="solid">
        <fgColor rgb="FFFFFFFF"/>
        <bgColor rgb="FFFFFFFF"/>
      </patternFill>
    </fill>
  </fills>
  <borders count="14">
    <border>
      <left/>
      <right/>
      <top/>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diagonal/>
    </border>
  </borders>
  <cellStyleXfs count="3">
    <xf numFmtId="0" fontId="0" fillId="0" borderId="0"/>
    <xf numFmtId="164" fontId="1" fillId="0" borderId="0" applyFont="0" applyFill="0" applyBorder="0" applyAlignment="0" applyProtection="0"/>
    <xf numFmtId="0" fontId="1" fillId="0" borderId="0" applyNumberFormat="0" applyFont="0" applyBorder="0" applyProtection="0"/>
  </cellStyleXfs>
  <cellXfs count="165">
    <xf numFmtId="0" fontId="0" fillId="0" borderId="0" xfId="0"/>
    <xf numFmtId="166" fontId="5" fillId="4" borderId="2" xfId="1" applyNumberFormat="1" applyFont="1" applyFill="1" applyBorder="1" applyAlignment="1" applyProtection="1">
      <alignment horizontal="center" vertical="center"/>
      <protection locked="0"/>
    </xf>
    <xf numFmtId="166" fontId="5" fillId="4" borderId="2" xfId="1" applyNumberFormat="1" applyFont="1" applyFill="1" applyBorder="1" applyAlignment="1" applyProtection="1">
      <alignment horizontal="center" vertical="center" wrapText="1"/>
      <protection locked="0"/>
    </xf>
    <xf numFmtId="166" fontId="12" fillId="4" borderId="2" xfId="1" applyNumberFormat="1" applyFont="1" applyFill="1" applyBorder="1" applyAlignment="1" applyProtection="1">
      <alignment horizontal="center" vertical="top"/>
      <protection locked="0"/>
    </xf>
    <xf numFmtId="166" fontId="12" fillId="4" borderId="6" xfId="1" applyNumberFormat="1" applyFont="1" applyFill="1" applyBorder="1" applyAlignment="1" applyProtection="1">
      <alignment horizontal="center" vertical="top"/>
      <protection locked="0"/>
    </xf>
    <xf numFmtId="166" fontId="12" fillId="4" borderId="2" xfId="1" applyNumberFormat="1" applyFont="1" applyFill="1" applyBorder="1" applyAlignment="1" applyProtection="1">
      <alignment horizontal="center" vertical="top" wrapText="1"/>
      <protection locked="0"/>
    </xf>
    <xf numFmtId="0" fontId="2" fillId="2" borderId="0" xfId="0" applyFont="1" applyFill="1"/>
    <xf numFmtId="168" fontId="3" fillId="3" borderId="1" xfId="1" applyNumberFormat="1" applyFont="1" applyFill="1" applyBorder="1" applyAlignment="1" applyProtection="1">
      <alignment horizontal="left" vertical="center" indent="9"/>
    </xf>
    <xf numFmtId="168" fontId="3" fillId="3" borderId="1" xfId="1" applyNumberFormat="1" applyFont="1" applyFill="1" applyBorder="1" applyAlignment="1" applyProtection="1">
      <alignment horizontal="left" vertical="top"/>
    </xf>
    <xf numFmtId="168" fontId="4" fillId="3" borderId="1" xfId="1" applyNumberFormat="1" applyFont="1" applyFill="1" applyBorder="1" applyAlignment="1" applyProtection="1">
      <alignment horizontal="center" vertical="top" wrapText="1"/>
    </xf>
    <xf numFmtId="164" fontId="4" fillId="3" borderId="1" xfId="1" applyFont="1" applyFill="1" applyBorder="1" applyAlignment="1" applyProtection="1">
      <alignment horizontal="center" vertical="top" wrapText="1"/>
    </xf>
    <xf numFmtId="0" fontId="5" fillId="4" borderId="0" xfId="0" applyFont="1" applyFill="1"/>
    <xf numFmtId="0" fontId="6" fillId="4" borderId="1" xfId="0" applyFont="1" applyFill="1" applyBorder="1" applyAlignment="1">
      <alignment wrapText="1"/>
    </xf>
    <xf numFmtId="0" fontId="6" fillId="4" borderId="1" xfId="0" applyFont="1" applyFill="1" applyBorder="1" applyAlignment="1">
      <alignment horizontal="center"/>
    </xf>
    <xf numFmtId="164" fontId="6" fillId="4" borderId="1" xfId="1" applyFont="1" applyFill="1" applyBorder="1" applyAlignment="1" applyProtection="1">
      <alignment horizontal="center"/>
    </xf>
    <xf numFmtId="0" fontId="7" fillId="4" borderId="0" xfId="0" applyFont="1" applyFill="1"/>
    <xf numFmtId="0" fontId="6" fillId="4" borderId="2" xfId="0" applyFont="1" applyFill="1" applyBorder="1" applyAlignment="1">
      <alignment wrapText="1"/>
    </xf>
    <xf numFmtId="0" fontId="7" fillId="4" borderId="2" xfId="0" applyFont="1" applyFill="1" applyBorder="1" applyAlignment="1">
      <alignment wrapText="1"/>
    </xf>
    <xf numFmtId="0" fontId="7" fillId="4" borderId="2" xfId="0" applyFont="1" applyFill="1" applyBorder="1" applyAlignment="1">
      <alignment horizontal="center"/>
    </xf>
    <xf numFmtId="4" fontId="7" fillId="4" borderId="2" xfId="0" applyNumberFormat="1" applyFont="1" applyFill="1" applyBorder="1" applyAlignment="1">
      <alignment horizontal="center"/>
    </xf>
    <xf numFmtId="164" fontId="7" fillId="4" borderId="2" xfId="1" applyFont="1" applyFill="1" applyBorder="1" applyAlignment="1" applyProtection="1">
      <alignment horizontal="center"/>
    </xf>
    <xf numFmtId="0" fontId="6" fillId="4" borderId="3" xfId="0" applyFont="1" applyFill="1" applyBorder="1" applyAlignment="1">
      <alignment wrapText="1"/>
    </xf>
    <xf numFmtId="0" fontId="6" fillId="4" borderId="3" xfId="0" applyFont="1" applyFill="1" applyBorder="1" applyAlignment="1">
      <alignment horizontal="center"/>
    </xf>
    <xf numFmtId="164" fontId="6" fillId="4" borderId="3" xfId="1" applyFont="1" applyFill="1" applyBorder="1" applyAlignment="1" applyProtection="1">
      <alignment horizontal="center"/>
    </xf>
    <xf numFmtId="0" fontId="4" fillId="4" borderId="4" xfId="0" applyFont="1" applyFill="1" applyBorder="1" applyAlignment="1">
      <alignment vertical="center"/>
    </xf>
    <xf numFmtId="0" fontId="7" fillId="4" borderId="2" xfId="0" applyFont="1" applyFill="1" applyBorder="1" applyAlignment="1">
      <alignment vertical="top" wrapText="1"/>
    </xf>
    <xf numFmtId="0" fontId="7" fillId="4" borderId="2" xfId="0" applyFont="1" applyFill="1" applyBorder="1" applyAlignment="1">
      <alignment horizontal="center" wrapText="1"/>
    </xf>
    <xf numFmtId="3" fontId="7" fillId="4" borderId="2" xfId="0" applyNumberFormat="1" applyFont="1" applyFill="1" applyBorder="1" applyAlignment="1">
      <alignment horizontal="center" wrapText="1"/>
    </xf>
    <xf numFmtId="166" fontId="5" fillId="4" borderId="2" xfId="1" applyNumberFormat="1" applyFont="1" applyFill="1" applyBorder="1" applyAlignment="1" applyProtection="1">
      <alignment horizontal="center" vertical="center" wrapText="1"/>
    </xf>
    <xf numFmtId="0" fontId="7" fillId="4" borderId="1" xfId="0" applyFont="1" applyFill="1" applyBorder="1" applyAlignment="1">
      <alignment vertical="top" wrapText="1"/>
    </xf>
    <xf numFmtId="0" fontId="7" fillId="4" borderId="1" xfId="0" applyFont="1" applyFill="1" applyBorder="1" applyAlignment="1">
      <alignment horizontal="center" wrapText="1"/>
    </xf>
    <xf numFmtId="3" fontId="7" fillId="4" borderId="1" xfId="0" applyNumberFormat="1" applyFont="1" applyFill="1" applyBorder="1" applyAlignment="1">
      <alignment horizontal="center" wrapText="1"/>
    </xf>
    <xf numFmtId="164" fontId="6" fillId="4" borderId="2" xfId="1" applyFont="1" applyFill="1" applyBorder="1" applyAlignment="1" applyProtection="1">
      <alignment wrapText="1"/>
    </xf>
    <xf numFmtId="164" fontId="6" fillId="4" borderId="2" xfId="1" applyFont="1" applyFill="1" applyBorder="1" applyAlignment="1" applyProtection="1">
      <alignment horizontal="center"/>
    </xf>
    <xf numFmtId="164" fontId="6" fillId="4" borderId="1" xfId="1" applyFont="1" applyFill="1" applyBorder="1" applyAlignment="1" applyProtection="1">
      <alignment wrapText="1"/>
    </xf>
    <xf numFmtId="0" fontId="8" fillId="4" borderId="0" xfId="0" applyFont="1" applyFill="1" applyAlignment="1">
      <alignment horizontal="left" vertical="center" wrapText="1"/>
    </xf>
    <xf numFmtId="164" fontId="7" fillId="4" borderId="1" xfId="1" applyFont="1" applyFill="1" applyBorder="1" applyAlignment="1" applyProtection="1">
      <alignment wrapText="1"/>
    </xf>
    <xf numFmtId="164" fontId="7" fillId="4" borderId="1" xfId="1" applyFont="1" applyFill="1" applyBorder="1" applyAlignment="1" applyProtection="1">
      <alignment horizontal="center"/>
    </xf>
    <xf numFmtId="0" fontId="9" fillId="4" borderId="0" xfId="0" applyFont="1" applyFill="1" applyAlignment="1">
      <alignment horizontal="left" vertical="center" wrapText="1"/>
    </xf>
    <xf numFmtId="49" fontId="3" fillId="4" borderId="2" xfId="0" applyNumberFormat="1" applyFont="1" applyFill="1" applyBorder="1" applyAlignment="1">
      <alignment vertical="center"/>
    </xf>
    <xf numFmtId="49" fontId="5" fillId="4" borderId="2" xfId="0" applyNumberFormat="1" applyFont="1" applyFill="1" applyBorder="1" applyAlignment="1">
      <alignment horizontal="center" vertical="center"/>
    </xf>
    <xf numFmtId="165" fontId="5" fillId="4" borderId="2" xfId="1" applyNumberFormat="1" applyFont="1" applyFill="1" applyBorder="1" applyAlignment="1" applyProtection="1">
      <alignment horizontal="center" vertical="center"/>
    </xf>
    <xf numFmtId="166" fontId="5" fillId="4" borderId="2" xfId="1" applyNumberFormat="1" applyFont="1" applyFill="1" applyBorder="1" applyAlignment="1" applyProtection="1">
      <alignment horizontal="center" vertical="center"/>
    </xf>
    <xf numFmtId="49" fontId="5" fillId="4" borderId="2" xfId="0" applyNumberFormat="1" applyFont="1" applyFill="1" applyBorder="1" applyAlignment="1">
      <alignment horizontal="left" vertical="center" wrapText="1"/>
    </xf>
    <xf numFmtId="49" fontId="5" fillId="4" borderId="2" xfId="0" applyNumberFormat="1" applyFont="1" applyFill="1" applyBorder="1" applyAlignment="1">
      <alignment horizontal="center" vertical="center" wrapText="1"/>
    </xf>
    <xf numFmtId="165" fontId="5" fillId="4" borderId="2" xfId="1" applyNumberFormat="1" applyFont="1" applyFill="1" applyBorder="1" applyAlignment="1" applyProtection="1">
      <alignment horizontal="center" vertical="center" wrapText="1"/>
    </xf>
    <xf numFmtId="49" fontId="3" fillId="4" borderId="2" xfId="0" applyNumberFormat="1" applyFont="1" applyFill="1" applyBorder="1" applyAlignment="1">
      <alignment horizontal="left" vertical="center" wrapText="1"/>
    </xf>
    <xf numFmtId="164" fontId="6" fillId="4" borderId="2" xfId="1" applyFont="1" applyFill="1" applyBorder="1" applyAlignment="1" applyProtection="1"/>
    <xf numFmtId="0" fontId="10" fillId="4" borderId="5" xfId="0" applyFont="1" applyFill="1" applyBorder="1" applyAlignment="1">
      <alignment wrapText="1"/>
    </xf>
    <xf numFmtId="0" fontId="10" fillId="4" borderId="5" xfId="0" applyFont="1" applyFill="1" applyBorder="1" applyAlignment="1">
      <alignment horizontal="center"/>
    </xf>
    <xf numFmtId="164" fontId="10" fillId="4" borderId="5" xfId="1" applyFont="1" applyFill="1" applyBorder="1" applyAlignment="1" applyProtection="1">
      <alignment horizontal="center"/>
    </xf>
    <xf numFmtId="166" fontId="7" fillId="4" borderId="2" xfId="1" applyNumberFormat="1" applyFont="1" applyFill="1" applyBorder="1" applyAlignment="1" applyProtection="1">
      <alignment horizontal="center"/>
    </xf>
    <xf numFmtId="0" fontId="10" fillId="4" borderId="5" xfId="0" applyFont="1" applyFill="1" applyBorder="1" applyAlignment="1">
      <alignment horizontal="left" wrapText="1"/>
    </xf>
    <xf numFmtId="166" fontId="10" fillId="4" borderId="5" xfId="1" applyNumberFormat="1" applyFont="1" applyFill="1" applyBorder="1" applyAlignment="1" applyProtection="1">
      <alignment horizontal="center"/>
    </xf>
    <xf numFmtId="0" fontId="10" fillId="4" borderId="2" xfId="0" applyFont="1" applyFill="1" applyBorder="1" applyAlignment="1">
      <alignment wrapText="1"/>
    </xf>
    <xf numFmtId="0" fontId="10" fillId="4" borderId="2" xfId="0" applyFont="1" applyFill="1" applyBorder="1" applyAlignment="1">
      <alignment horizontal="center"/>
    </xf>
    <xf numFmtId="166" fontId="10" fillId="4" borderId="2" xfId="1" applyNumberFormat="1" applyFont="1" applyFill="1" applyBorder="1" applyAlignment="1" applyProtection="1">
      <alignment horizontal="center"/>
    </xf>
    <xf numFmtId="164" fontId="10" fillId="4" borderId="2" xfId="1" applyFont="1" applyFill="1" applyBorder="1" applyAlignment="1" applyProtection="1">
      <alignment horizontal="center"/>
    </xf>
    <xf numFmtId="168" fontId="4" fillId="3" borderId="1" xfId="1" applyNumberFormat="1" applyFont="1" applyFill="1" applyBorder="1" applyAlignment="1" applyProtection="1">
      <alignment horizontal="center" vertical="center" wrapText="1"/>
    </xf>
    <xf numFmtId="164" fontId="4" fillId="3" borderId="1" xfId="1" applyFont="1" applyFill="1" applyBorder="1" applyAlignment="1" applyProtection="1">
      <alignment horizontal="center" vertical="center" wrapText="1"/>
    </xf>
    <xf numFmtId="168" fontId="11" fillId="3" borderId="1" xfId="1" applyNumberFormat="1" applyFont="1" applyFill="1" applyBorder="1" applyAlignment="1" applyProtection="1">
      <alignment horizontal="left" vertical="top" wrapText="1"/>
    </xf>
    <xf numFmtId="168" fontId="11" fillId="3" borderId="1" xfId="1" applyNumberFormat="1" applyFont="1" applyFill="1" applyBorder="1" applyAlignment="1" applyProtection="1">
      <alignment horizontal="center" vertical="center" wrapText="1"/>
    </xf>
    <xf numFmtId="164" fontId="11" fillId="3" borderId="1" xfId="1" applyFont="1" applyFill="1" applyBorder="1" applyAlignment="1" applyProtection="1">
      <alignment horizontal="center" vertical="center" wrapText="1"/>
    </xf>
    <xf numFmtId="0" fontId="6" fillId="4" borderId="1" xfId="0" applyFont="1" applyFill="1" applyBorder="1" applyAlignment="1">
      <alignment horizontal="left" wrapText="1"/>
    </xf>
    <xf numFmtId="0" fontId="6" fillId="4" borderId="1" xfId="0" applyFont="1" applyFill="1" applyBorder="1" applyAlignment="1">
      <alignment horizontal="center" wrapText="1"/>
    </xf>
    <xf numFmtId="0" fontId="0" fillId="4" borderId="0" xfId="0" applyFill="1"/>
    <xf numFmtId="0" fontId="7" fillId="4" borderId="2" xfId="0" applyFont="1" applyFill="1" applyBorder="1" applyAlignment="1">
      <alignment horizontal="left" wrapText="1"/>
    </xf>
    <xf numFmtId="0" fontId="6" fillId="4" borderId="3" xfId="0" applyFont="1" applyFill="1" applyBorder="1" applyAlignment="1">
      <alignment horizontal="left" wrapText="1"/>
    </xf>
    <xf numFmtId="0" fontId="6" fillId="4" borderId="3" xfId="0" applyFont="1" applyFill="1" applyBorder="1" applyAlignment="1">
      <alignment horizontal="center" wrapText="1"/>
    </xf>
    <xf numFmtId="3" fontId="6" fillId="4" borderId="3" xfId="0" applyNumberFormat="1" applyFont="1" applyFill="1" applyBorder="1" applyAlignment="1">
      <alignment horizontal="center" wrapText="1"/>
    </xf>
    <xf numFmtId="0" fontId="7" fillId="4" borderId="1" xfId="0" applyFont="1" applyFill="1" applyBorder="1" applyAlignment="1">
      <alignment horizontal="left" wrapText="1"/>
    </xf>
    <xf numFmtId="49" fontId="12" fillId="4" borderId="2" xfId="0" applyNumberFormat="1" applyFont="1" applyFill="1" applyBorder="1" applyAlignment="1">
      <alignment horizontal="left" vertical="top" wrapText="1"/>
    </xf>
    <xf numFmtId="0" fontId="6" fillId="4" borderId="2" xfId="0" applyFont="1" applyFill="1" applyBorder="1" applyAlignment="1">
      <alignment horizontal="left" wrapText="1"/>
    </xf>
    <xf numFmtId="0" fontId="6" fillId="4" borderId="2" xfId="0" applyFont="1" applyFill="1" applyBorder="1" applyAlignment="1">
      <alignment horizontal="center" wrapText="1"/>
    </xf>
    <xf numFmtId="3" fontId="6" fillId="4" borderId="2" xfId="0" applyNumberFormat="1" applyFont="1" applyFill="1" applyBorder="1" applyAlignment="1">
      <alignment horizontal="center" wrapText="1"/>
    </xf>
    <xf numFmtId="0" fontId="7" fillId="4" borderId="5" xfId="0" applyFont="1" applyFill="1" applyBorder="1" applyAlignment="1">
      <alignment horizontal="left" wrapText="1"/>
    </xf>
    <xf numFmtId="0" fontId="7" fillId="4" borderId="5" xfId="0" applyFont="1" applyFill="1" applyBorder="1" applyAlignment="1">
      <alignment horizontal="center"/>
    </xf>
    <xf numFmtId="166" fontId="7" fillId="4" borderId="5" xfId="1" applyNumberFormat="1" applyFont="1" applyFill="1" applyBorder="1" applyAlignment="1" applyProtection="1">
      <alignment horizontal="center"/>
    </xf>
    <xf numFmtId="166" fontId="10" fillId="4" borderId="5" xfId="0" applyNumberFormat="1" applyFont="1" applyFill="1" applyBorder="1" applyAlignment="1">
      <alignment horizontal="center"/>
    </xf>
    <xf numFmtId="3" fontId="6" fillId="4" borderId="1" xfId="0" applyNumberFormat="1" applyFont="1" applyFill="1" applyBorder="1" applyAlignment="1">
      <alignment horizontal="center" wrapText="1"/>
    </xf>
    <xf numFmtId="0" fontId="10" fillId="4" borderId="2" xfId="0" applyFont="1" applyFill="1" applyBorder="1" applyAlignment="1">
      <alignment horizontal="left" wrapText="1"/>
    </xf>
    <xf numFmtId="0" fontId="10" fillId="4" borderId="6" xfId="0" applyFont="1" applyFill="1" applyBorder="1" applyAlignment="1">
      <alignment horizontal="center"/>
    </xf>
    <xf numFmtId="166" fontId="10" fillId="4" borderId="2" xfId="0" applyNumberFormat="1" applyFont="1" applyFill="1" applyBorder="1" applyAlignment="1">
      <alignment horizontal="center"/>
    </xf>
    <xf numFmtId="0" fontId="10" fillId="0" borderId="2" xfId="0" applyFont="1" applyBorder="1" applyAlignment="1">
      <alignment horizontal="left" wrapText="1"/>
    </xf>
    <xf numFmtId="0" fontId="10" fillId="0" borderId="2" xfId="0" applyFont="1" applyBorder="1" applyAlignment="1">
      <alignment horizontal="center"/>
    </xf>
    <xf numFmtId="166" fontId="10" fillId="0" borderId="2" xfId="1" applyNumberFormat="1" applyFont="1" applyBorder="1" applyAlignment="1" applyProtection="1">
      <alignment horizontal="center"/>
    </xf>
    <xf numFmtId="166" fontId="10" fillId="0" borderId="2" xfId="0" applyNumberFormat="1" applyFont="1" applyBorder="1" applyAlignment="1">
      <alignment horizontal="center"/>
    </xf>
    <xf numFmtId="49" fontId="13" fillId="4" borderId="7" xfId="0" applyNumberFormat="1" applyFont="1" applyFill="1" applyBorder="1" applyAlignment="1">
      <alignment horizontal="center" vertical="top"/>
    </xf>
    <xf numFmtId="0" fontId="12" fillId="4" borderId="2" xfId="0" applyFont="1" applyFill="1" applyBorder="1" applyAlignment="1">
      <alignment horizontal="center" vertical="top" wrapText="1"/>
    </xf>
    <xf numFmtId="166" fontId="12" fillId="4" borderId="2" xfId="0" applyNumberFormat="1" applyFont="1" applyFill="1" applyBorder="1" applyAlignment="1">
      <alignment horizontal="center" vertical="top" wrapText="1"/>
    </xf>
    <xf numFmtId="49" fontId="12" fillId="4" borderId="6" xfId="0" applyNumberFormat="1" applyFont="1" applyFill="1" applyBorder="1" applyAlignment="1">
      <alignment horizontal="left" vertical="top" wrapText="1"/>
    </xf>
    <xf numFmtId="49" fontId="13" fillId="4" borderId="8" xfId="0" applyNumberFormat="1" applyFont="1" applyFill="1" applyBorder="1" applyAlignment="1">
      <alignment horizontal="center" vertical="top"/>
    </xf>
    <xf numFmtId="2" fontId="12" fillId="4" borderId="6" xfId="0" applyNumberFormat="1" applyFont="1" applyFill="1" applyBorder="1" applyAlignment="1">
      <alignment horizontal="center" vertical="top"/>
    </xf>
    <xf numFmtId="0" fontId="6" fillId="4" borderId="4" xfId="0" applyFont="1" applyFill="1" applyBorder="1" applyAlignment="1">
      <alignment horizontal="center" wrapText="1"/>
    </xf>
    <xf numFmtId="0" fontId="6" fillId="4" borderId="9" xfId="0" applyFont="1" applyFill="1" applyBorder="1" applyAlignment="1">
      <alignment horizontal="center" wrapText="1"/>
    </xf>
    <xf numFmtId="0" fontId="6" fillId="4" borderId="7" xfId="0" applyFont="1" applyFill="1" applyBorder="1" applyAlignment="1">
      <alignment horizontal="left" wrapText="1"/>
    </xf>
    <xf numFmtId="0" fontId="6" fillId="4" borderId="7" xfId="0" applyFont="1" applyFill="1" applyBorder="1" applyAlignment="1">
      <alignment horizontal="center" wrapText="1"/>
    </xf>
    <xf numFmtId="0" fontId="6" fillId="4" borderId="10" xfId="0" applyFont="1" applyFill="1" applyBorder="1" applyAlignment="1">
      <alignment horizontal="center" wrapText="1"/>
    </xf>
    <xf numFmtId="0" fontId="6" fillId="4" borderId="11" xfId="0" applyFont="1" applyFill="1" applyBorder="1" applyAlignment="1">
      <alignment horizontal="center" wrapText="1"/>
    </xf>
    <xf numFmtId="3" fontId="6" fillId="4" borderId="11" xfId="0" applyNumberFormat="1" applyFont="1" applyFill="1" applyBorder="1" applyAlignment="1">
      <alignment horizontal="center" wrapText="1"/>
    </xf>
    <xf numFmtId="0" fontId="6" fillId="4" borderId="0" xfId="0" applyFont="1" applyFill="1" applyAlignment="1">
      <alignment horizontal="left" wrapText="1"/>
    </xf>
    <xf numFmtId="0" fontId="6" fillId="4" borderId="0" xfId="0" applyFont="1" applyFill="1" applyAlignment="1">
      <alignment horizontal="center" wrapText="1"/>
    </xf>
    <xf numFmtId="0" fontId="6" fillId="4" borderId="11" xfId="0" applyFont="1" applyFill="1" applyBorder="1" applyAlignment="1">
      <alignment horizontal="left" wrapText="1"/>
    </xf>
    <xf numFmtId="0" fontId="6" fillId="4" borderId="1" xfId="0" applyFont="1" applyFill="1" applyBorder="1"/>
    <xf numFmtId="0" fontId="7" fillId="4" borderId="2" xfId="0" applyFont="1" applyFill="1" applyBorder="1"/>
    <xf numFmtId="0" fontId="6" fillId="4" borderId="3" xfId="0" applyFont="1" applyFill="1" applyBorder="1"/>
    <xf numFmtId="164" fontId="5" fillId="4" borderId="2" xfId="1" applyFont="1" applyFill="1" applyBorder="1" applyAlignment="1" applyProtection="1">
      <alignment horizontal="center" vertical="center"/>
    </xf>
    <xf numFmtId="49" fontId="5" fillId="4" borderId="2" xfId="0" applyNumberFormat="1" applyFont="1" applyFill="1" applyBorder="1" applyAlignment="1">
      <alignment vertical="center"/>
    </xf>
    <xf numFmtId="164" fontId="6" fillId="4" borderId="3" xfId="1" applyFont="1" applyFill="1" applyBorder="1" applyAlignment="1" applyProtection="1"/>
    <xf numFmtId="0" fontId="3" fillId="4" borderId="7" xfId="0" applyFont="1" applyFill="1" applyBorder="1"/>
    <xf numFmtId="0" fontId="3" fillId="4" borderId="2" xfId="0" applyFont="1" applyFill="1" applyBorder="1" applyAlignment="1">
      <alignment horizontal="center"/>
    </xf>
    <xf numFmtId="3" fontId="3" fillId="4" borderId="2" xfId="0" applyNumberFormat="1" applyFont="1" applyFill="1" applyBorder="1" applyAlignment="1">
      <alignment horizontal="center"/>
    </xf>
    <xf numFmtId="3" fontId="3" fillId="4" borderId="12" xfId="0" applyNumberFormat="1" applyFont="1" applyFill="1" applyBorder="1" applyAlignment="1">
      <alignment horizontal="center"/>
    </xf>
    <xf numFmtId="0" fontId="5" fillId="4" borderId="4" xfId="0" applyFont="1" applyFill="1" applyBorder="1"/>
    <xf numFmtId="0" fontId="5" fillId="4" borderId="2" xfId="0" applyFont="1" applyFill="1" applyBorder="1" applyAlignment="1">
      <alignment horizontal="center"/>
    </xf>
    <xf numFmtId="4" fontId="5" fillId="4" borderId="2" xfId="0" applyNumberFormat="1" applyFont="1" applyFill="1" applyBorder="1" applyAlignment="1">
      <alignment horizontal="center"/>
    </xf>
    <xf numFmtId="3" fontId="5" fillId="4" borderId="12" xfId="0" applyNumberFormat="1" applyFont="1" applyFill="1" applyBorder="1" applyAlignment="1">
      <alignment horizontal="center"/>
    </xf>
    <xf numFmtId="0" fontId="5" fillId="4" borderId="2" xfId="0" applyFont="1" applyFill="1" applyBorder="1" applyAlignment="1">
      <alignment horizontal="center" vertical="center"/>
    </xf>
    <xf numFmtId="4" fontId="5" fillId="4" borderId="2" xfId="0" applyNumberFormat="1" applyFont="1" applyFill="1" applyBorder="1" applyAlignment="1">
      <alignment horizontal="center" vertical="center"/>
    </xf>
    <xf numFmtId="166" fontId="5" fillId="4" borderId="13" xfId="1" applyNumberFormat="1" applyFont="1" applyFill="1" applyBorder="1" applyAlignment="1" applyProtection="1">
      <alignment horizontal="center" vertical="center"/>
    </xf>
    <xf numFmtId="0" fontId="10" fillId="4" borderId="5" xfId="0" applyFont="1" applyFill="1" applyBorder="1"/>
    <xf numFmtId="0" fontId="0" fillId="4" borderId="0" xfId="0" applyFill="1" applyAlignment="1">
      <alignment vertical="top"/>
    </xf>
    <xf numFmtId="0" fontId="16" fillId="4" borderId="0" xfId="0" applyFont="1" applyFill="1" applyAlignment="1">
      <alignment horizontal="left" vertical="center" wrapText="1" indent="2"/>
    </xf>
    <xf numFmtId="2" fontId="12" fillId="4" borderId="2" xfId="0" applyNumberFormat="1" applyFont="1" applyFill="1" applyBorder="1" applyAlignment="1">
      <alignment horizontal="center" vertical="top"/>
    </xf>
    <xf numFmtId="166" fontId="12" fillId="4" borderId="6" xfId="0" applyNumberFormat="1" applyFont="1" applyFill="1" applyBorder="1" applyAlignment="1">
      <alignment horizontal="center" vertical="top" wrapText="1"/>
    </xf>
    <xf numFmtId="167" fontId="7" fillId="4" borderId="0" xfId="0" applyNumberFormat="1" applyFont="1" applyFill="1"/>
    <xf numFmtId="164" fontId="7" fillId="4" borderId="0" xfId="1" applyFont="1" applyFill="1" applyProtection="1"/>
    <xf numFmtId="0" fontId="7" fillId="0" borderId="0" xfId="0" applyFont="1"/>
    <xf numFmtId="168" fontId="3" fillId="3" borderId="1" xfId="1" applyNumberFormat="1" applyFont="1" applyFill="1" applyBorder="1" applyAlignment="1" applyProtection="1">
      <alignment vertical="top"/>
    </xf>
    <xf numFmtId="168" fontId="4" fillId="3" borderId="1" xfId="1" applyNumberFormat="1" applyFont="1" applyFill="1" applyBorder="1" applyAlignment="1" applyProtection="1">
      <alignment vertical="center" wrapText="1"/>
    </xf>
    <xf numFmtId="164" fontId="4" fillId="3" borderId="1" xfId="1" applyFont="1" applyFill="1" applyBorder="1" applyAlignment="1" applyProtection="1">
      <alignment vertical="center" wrapText="1"/>
    </xf>
    <xf numFmtId="168" fontId="11" fillId="3" borderId="1" xfId="1" applyNumberFormat="1" applyFont="1" applyFill="1" applyBorder="1" applyAlignment="1" applyProtection="1">
      <alignment horizontal="center" vertical="center"/>
    </xf>
    <xf numFmtId="164" fontId="11" fillId="3" borderId="1" xfId="1" applyFont="1" applyFill="1" applyBorder="1" applyAlignment="1" applyProtection="1">
      <alignment horizontal="center" vertical="center"/>
    </xf>
    <xf numFmtId="168" fontId="11" fillId="3" borderId="9" xfId="1" applyNumberFormat="1" applyFont="1" applyFill="1" applyBorder="1" applyAlignment="1" applyProtection="1">
      <alignment horizontal="center" vertical="center"/>
    </xf>
    <xf numFmtId="168" fontId="11" fillId="3" borderId="2" xfId="1" applyNumberFormat="1" applyFont="1" applyFill="1" applyBorder="1" applyAlignment="1" applyProtection="1">
      <alignment horizontal="center" vertical="center"/>
    </xf>
    <xf numFmtId="0" fontId="0" fillId="0" borderId="0" xfId="0" applyAlignment="1">
      <alignment vertical="top" wrapText="1"/>
    </xf>
    <xf numFmtId="0" fontId="0" fillId="0" borderId="0" xfId="0" applyAlignment="1">
      <alignment horizontal="center"/>
    </xf>
    <xf numFmtId="3" fontId="7" fillId="4" borderId="2" xfId="0" applyNumberFormat="1" applyFont="1" applyFill="1" applyBorder="1" applyAlignment="1" applyProtection="1">
      <alignment horizontal="center"/>
      <protection locked="0"/>
    </xf>
    <xf numFmtId="3" fontId="7" fillId="4" borderId="2" xfId="0" applyNumberFormat="1" applyFont="1" applyFill="1" applyBorder="1" applyAlignment="1" applyProtection="1">
      <alignment horizontal="center" vertical="top"/>
      <protection locked="0"/>
    </xf>
    <xf numFmtId="0" fontId="6" fillId="4" borderId="3" xfId="0" applyFont="1" applyFill="1" applyBorder="1" applyAlignment="1" applyProtection="1">
      <alignment horizontal="center"/>
      <protection locked="0"/>
    </xf>
    <xf numFmtId="0" fontId="4" fillId="4" borderId="4" xfId="0" applyFont="1" applyFill="1" applyBorder="1" applyAlignment="1" applyProtection="1">
      <alignment vertical="center"/>
      <protection locked="0"/>
    </xf>
    <xf numFmtId="3" fontId="7" fillId="4" borderId="2" xfId="0" applyNumberFormat="1" applyFont="1" applyFill="1" applyBorder="1" applyAlignment="1" applyProtection="1">
      <alignment horizontal="center" wrapText="1"/>
      <protection locked="0"/>
    </xf>
    <xf numFmtId="3" fontId="7" fillId="4" borderId="1" xfId="0" applyNumberFormat="1" applyFont="1" applyFill="1" applyBorder="1" applyAlignment="1" applyProtection="1">
      <alignment horizontal="center" wrapText="1"/>
      <protection locked="0"/>
    </xf>
    <xf numFmtId="164" fontId="6" fillId="4" borderId="2" xfId="1" applyFont="1" applyFill="1" applyBorder="1" applyAlignment="1" applyProtection="1">
      <alignment horizontal="center"/>
      <protection locked="0"/>
    </xf>
    <xf numFmtId="164" fontId="6" fillId="4" borderId="1" xfId="1" applyFont="1" applyFill="1" applyBorder="1" applyAlignment="1" applyProtection="1">
      <alignment horizontal="center"/>
      <protection locked="0"/>
    </xf>
    <xf numFmtId="164" fontId="7" fillId="4" borderId="1" xfId="1" applyFont="1" applyFill="1" applyBorder="1" applyAlignment="1" applyProtection="1">
      <alignment horizontal="center"/>
      <protection locked="0"/>
    </xf>
    <xf numFmtId="0" fontId="10" fillId="4" borderId="5" xfId="0" applyFont="1" applyFill="1" applyBorder="1" applyAlignment="1" applyProtection="1">
      <alignment horizontal="center"/>
      <protection locked="0"/>
    </xf>
    <xf numFmtId="0" fontId="7" fillId="4" borderId="2" xfId="0" applyFont="1" applyFill="1" applyBorder="1" applyAlignment="1" applyProtection="1">
      <alignment horizontal="center"/>
      <protection locked="0"/>
    </xf>
    <xf numFmtId="0" fontId="10" fillId="4" borderId="2" xfId="0" applyFont="1" applyFill="1" applyBorder="1" applyAlignment="1" applyProtection="1">
      <alignment horizontal="center"/>
      <protection locked="0"/>
    </xf>
    <xf numFmtId="168" fontId="4" fillId="3" borderId="1" xfId="1" applyNumberFormat="1" applyFont="1" applyFill="1" applyBorder="1" applyAlignment="1" applyProtection="1">
      <alignment horizontal="center" vertical="center" wrapText="1"/>
      <protection locked="0"/>
    </xf>
    <xf numFmtId="168" fontId="11" fillId="3" borderId="1" xfId="1" applyNumberFormat="1"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wrapText="1"/>
      <protection locked="0"/>
    </xf>
    <xf numFmtId="0" fontId="6" fillId="4" borderId="3" xfId="0" applyFont="1" applyFill="1" applyBorder="1" applyAlignment="1" applyProtection="1">
      <alignment horizontal="center" wrapText="1"/>
      <protection locked="0"/>
    </xf>
    <xf numFmtId="0" fontId="7" fillId="4" borderId="1" xfId="0" applyFont="1" applyFill="1" applyBorder="1" applyAlignment="1" applyProtection="1">
      <alignment horizontal="center" wrapText="1"/>
      <protection locked="0"/>
    </xf>
    <xf numFmtId="0" fontId="6" fillId="4" borderId="2" xfId="0" applyFont="1" applyFill="1" applyBorder="1" applyAlignment="1" applyProtection="1">
      <alignment horizontal="center" wrapText="1"/>
      <protection locked="0"/>
    </xf>
    <xf numFmtId="0" fontId="7" fillId="4" borderId="5" xfId="0" applyFont="1" applyFill="1" applyBorder="1" applyAlignment="1" applyProtection="1">
      <alignment horizontal="center"/>
      <protection locked="0"/>
    </xf>
    <xf numFmtId="0" fontId="10" fillId="0" borderId="2" xfId="0" applyFont="1" applyBorder="1" applyAlignment="1" applyProtection="1">
      <alignment horizontal="center"/>
      <protection locked="0"/>
    </xf>
    <xf numFmtId="0" fontId="6" fillId="4" borderId="11" xfId="0" applyFont="1" applyFill="1" applyBorder="1" applyAlignment="1" applyProtection="1">
      <alignment horizontal="center" wrapText="1"/>
      <protection locked="0"/>
    </xf>
    <xf numFmtId="0" fontId="6" fillId="4" borderId="0" xfId="0" applyFont="1" applyFill="1" applyAlignment="1" applyProtection="1">
      <alignment horizontal="center" wrapText="1"/>
      <protection locked="0"/>
    </xf>
    <xf numFmtId="0" fontId="6" fillId="4" borderId="1" xfId="0" applyFont="1" applyFill="1" applyBorder="1" applyAlignment="1" applyProtection="1">
      <alignment horizontal="center"/>
      <protection locked="0"/>
    </xf>
    <xf numFmtId="164" fontId="6" fillId="4" borderId="3" xfId="1" applyFont="1" applyFill="1" applyBorder="1" applyAlignment="1" applyProtection="1">
      <alignment horizontal="center"/>
      <protection locked="0"/>
    </xf>
    <xf numFmtId="3" fontId="3" fillId="4" borderId="2" xfId="0" applyNumberFormat="1" applyFont="1" applyFill="1" applyBorder="1" applyAlignment="1" applyProtection="1">
      <alignment horizontal="center"/>
      <protection locked="0"/>
    </xf>
    <xf numFmtId="3" fontId="5" fillId="4" borderId="2" xfId="0" applyNumberFormat="1" applyFont="1" applyFill="1" applyBorder="1" applyAlignment="1" applyProtection="1">
      <alignment horizontal="center"/>
      <protection locked="0"/>
    </xf>
    <xf numFmtId="166" fontId="5" fillId="4" borderId="2" xfId="1" applyNumberFormat="1" applyFont="1" applyFill="1" applyBorder="1" applyAlignment="1" applyProtection="1">
      <alignment horizontal="center"/>
      <protection locked="0"/>
    </xf>
    <xf numFmtId="168" fontId="4" fillId="3" borderId="1" xfId="1" applyNumberFormat="1" applyFont="1" applyFill="1" applyBorder="1" applyAlignment="1" applyProtection="1">
      <alignment vertical="center" wrapText="1"/>
      <protection locked="0"/>
    </xf>
  </cellXfs>
  <cellStyles count="3">
    <cellStyle name="Comma" xfId="1" builtinId="3" customBuiltin="1"/>
    <cellStyle name="Normal" xfId="0" builtinId="0" customBuiltin="1"/>
    <cellStyle name="Normal 2" xfId="2" xr:uid="{AACB068D-32A3-4BF7-991F-125C0D68C8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45E7A-4F09-41BF-B2B4-1C817905439C}">
  <dimension ref="A1:J615"/>
  <sheetViews>
    <sheetView tabSelected="1" topLeftCell="A607" zoomScale="80" zoomScaleNormal="80" workbookViewId="0">
      <selection activeCell="E612" sqref="E612"/>
    </sheetView>
  </sheetViews>
  <sheetFormatPr defaultColWidth="8.88671875" defaultRowHeight="14.4" x14ac:dyDescent="0.3"/>
  <cols>
    <col min="1" max="1" width="6.88671875" style="135" customWidth="1"/>
    <col min="2" max="2" width="108.21875" style="135" customWidth="1"/>
    <col min="3" max="5" width="21.88671875" style="136" customWidth="1"/>
    <col min="6" max="6" width="44.44140625" style="136" customWidth="1"/>
    <col min="7" max="7" width="8.88671875" customWidth="1"/>
  </cols>
  <sheetData>
    <row r="1" spans="1:6" x14ac:dyDescent="0.3">
      <c r="A1" s="6" t="s">
        <v>0</v>
      </c>
      <c r="B1" s="6"/>
      <c r="C1" s="6"/>
      <c r="D1" s="6"/>
      <c r="E1" s="6"/>
      <c r="F1" s="6"/>
    </row>
    <row r="2" spans="1:6" x14ac:dyDescent="0.3">
      <c r="A2" s="6"/>
      <c r="B2" s="6"/>
      <c r="C2" s="6"/>
      <c r="D2" s="6"/>
      <c r="E2" s="6"/>
      <c r="F2" s="6"/>
    </row>
    <row r="3" spans="1:6" s="11" customFormat="1" ht="32.4" customHeight="1" x14ac:dyDescent="0.25">
      <c r="A3" s="7" t="s">
        <v>1</v>
      </c>
      <c r="B3" s="8" t="s">
        <v>2</v>
      </c>
      <c r="C3" s="9" t="s">
        <v>3</v>
      </c>
      <c r="D3" s="10" t="s">
        <v>4</v>
      </c>
      <c r="E3" s="9" t="s">
        <v>5</v>
      </c>
      <c r="F3" s="9" t="s">
        <v>6</v>
      </c>
    </row>
    <row r="4" spans="1:6" s="15" customFormat="1" ht="34.5" customHeight="1" x14ac:dyDescent="0.5">
      <c r="A4" s="12" t="s">
        <v>1</v>
      </c>
      <c r="B4" s="12" t="s">
        <v>2</v>
      </c>
      <c r="C4" s="13" t="s">
        <v>3</v>
      </c>
      <c r="D4" s="13" t="s">
        <v>4</v>
      </c>
      <c r="E4" s="13" t="s">
        <v>5</v>
      </c>
      <c r="F4" s="14" t="s">
        <v>6</v>
      </c>
    </row>
    <row r="5" spans="1:6" s="15" customFormat="1" ht="34.5" customHeight="1" x14ac:dyDescent="0.5">
      <c r="A5" s="16">
        <v>1</v>
      </c>
      <c r="B5" s="17" t="s">
        <v>7</v>
      </c>
      <c r="C5" s="18"/>
      <c r="D5" s="19"/>
      <c r="E5" s="137"/>
      <c r="F5" s="20"/>
    </row>
    <row r="6" spans="1:6" s="15" customFormat="1" ht="108" x14ac:dyDescent="0.5">
      <c r="A6" s="16">
        <v>2</v>
      </c>
      <c r="B6" s="17" t="s">
        <v>8</v>
      </c>
      <c r="C6" s="18" t="s">
        <v>9</v>
      </c>
      <c r="D6" s="19">
        <f>$D$10/1000</f>
        <v>1.7</v>
      </c>
      <c r="E6" s="138"/>
      <c r="F6" s="20">
        <f>E6*D6</f>
        <v>0</v>
      </c>
    </row>
    <row r="7" spans="1:6" s="15" customFormat="1" ht="36" x14ac:dyDescent="0.5">
      <c r="A7" s="21">
        <v>3</v>
      </c>
      <c r="B7" s="21" t="s">
        <v>10</v>
      </c>
      <c r="C7" s="22" t="s">
        <v>9</v>
      </c>
      <c r="D7" s="22">
        <f>$D$10/1000</f>
        <v>1.7</v>
      </c>
      <c r="E7" s="139"/>
      <c r="F7" s="23">
        <f>E7*D7</f>
        <v>0</v>
      </c>
    </row>
    <row r="8" spans="1:6" s="15" customFormat="1" ht="18" x14ac:dyDescent="0.5">
      <c r="A8" s="16">
        <v>4</v>
      </c>
      <c r="B8" s="24" t="s">
        <v>11</v>
      </c>
      <c r="C8" s="24"/>
      <c r="D8" s="24"/>
      <c r="E8" s="140"/>
      <c r="F8" s="24"/>
    </row>
    <row r="9" spans="1:6" s="15" customFormat="1" ht="18" x14ac:dyDescent="0.5">
      <c r="A9" s="16">
        <v>5</v>
      </c>
      <c r="B9" s="25" t="s">
        <v>12</v>
      </c>
      <c r="C9" s="26"/>
      <c r="D9" s="27"/>
      <c r="E9" s="141"/>
      <c r="F9" s="28">
        <f>F7+F6</f>
        <v>0</v>
      </c>
    </row>
    <row r="10" spans="1:6" s="15" customFormat="1" ht="18" x14ac:dyDescent="0.5">
      <c r="A10" s="21">
        <v>6</v>
      </c>
      <c r="B10" s="29" t="s">
        <v>13</v>
      </c>
      <c r="C10" s="30" t="s">
        <v>14</v>
      </c>
      <c r="D10" s="31">
        <v>1700</v>
      </c>
      <c r="E10" s="142"/>
      <c r="F10" s="28">
        <f>D10*E10</f>
        <v>0</v>
      </c>
    </row>
    <row r="11" spans="1:6" s="15" customFormat="1" ht="36" x14ac:dyDescent="0.5">
      <c r="A11" s="16">
        <v>7</v>
      </c>
      <c r="B11" s="25" t="s">
        <v>15</v>
      </c>
      <c r="C11" s="26" t="s">
        <v>16</v>
      </c>
      <c r="D11" s="27">
        <v>1</v>
      </c>
      <c r="E11" s="141"/>
      <c r="F11" s="28">
        <f>D11*E11</f>
        <v>0</v>
      </c>
    </row>
    <row r="12" spans="1:6" s="15" customFormat="1" ht="18" x14ac:dyDescent="0.5">
      <c r="A12" s="16">
        <v>8</v>
      </c>
      <c r="B12" s="32" t="s">
        <v>17</v>
      </c>
      <c r="C12" s="33" t="s">
        <v>14</v>
      </c>
      <c r="D12" s="33">
        <v>1700</v>
      </c>
      <c r="E12" s="143"/>
      <c r="F12" s="33">
        <f>D12*E12</f>
        <v>0</v>
      </c>
    </row>
    <row r="13" spans="1:6" s="35" customFormat="1" ht="18" x14ac:dyDescent="0.5">
      <c r="A13" s="21">
        <v>9</v>
      </c>
      <c r="B13" s="34" t="s">
        <v>18</v>
      </c>
      <c r="C13" s="14"/>
      <c r="D13" s="14"/>
      <c r="E13" s="144"/>
      <c r="F13" s="33">
        <f>SUM(F10:F12)</f>
        <v>0</v>
      </c>
    </row>
    <row r="14" spans="1:6" s="35" customFormat="1" ht="18" x14ac:dyDescent="0.5">
      <c r="A14" s="16">
        <v>10</v>
      </c>
      <c r="B14" s="36" t="s">
        <v>19</v>
      </c>
      <c r="C14" s="37"/>
      <c r="D14" s="37"/>
      <c r="E14" s="145"/>
      <c r="F14" s="28"/>
    </row>
    <row r="15" spans="1:6" s="38" customFormat="1" ht="18" x14ac:dyDescent="0.5">
      <c r="A15" s="16">
        <v>11</v>
      </c>
      <c r="B15" s="29" t="s">
        <v>20</v>
      </c>
      <c r="C15" s="30" t="s">
        <v>21</v>
      </c>
      <c r="D15" s="31">
        <v>1</v>
      </c>
      <c r="E15" s="142"/>
      <c r="F15" s="28">
        <f>D15*E15</f>
        <v>0</v>
      </c>
    </row>
    <row r="16" spans="1:6" s="15" customFormat="1" ht="54" x14ac:dyDescent="0.5">
      <c r="A16" s="21">
        <v>12</v>
      </c>
      <c r="B16" s="32" t="s">
        <v>22</v>
      </c>
      <c r="C16" s="33" t="s">
        <v>23</v>
      </c>
      <c r="D16" s="33">
        <v>2</v>
      </c>
      <c r="E16" s="143"/>
      <c r="F16" s="33">
        <f>D16*E16</f>
        <v>0</v>
      </c>
    </row>
    <row r="17" spans="1:6" s="35" customFormat="1" ht="18" x14ac:dyDescent="0.5">
      <c r="A17" s="16">
        <v>13</v>
      </c>
      <c r="B17" s="39" t="s">
        <v>24</v>
      </c>
      <c r="C17" s="40"/>
      <c r="D17" s="41"/>
      <c r="E17" s="1"/>
      <c r="F17" s="42">
        <f>SUM(F15:F16)</f>
        <v>0</v>
      </c>
    </row>
    <row r="18" spans="1:6" s="38" customFormat="1" ht="18" x14ac:dyDescent="0.5">
      <c r="A18" s="16">
        <v>14</v>
      </c>
      <c r="B18" s="43" t="s">
        <v>25</v>
      </c>
      <c r="C18" s="44"/>
      <c r="D18" s="45"/>
      <c r="E18" s="2"/>
      <c r="F18" s="28"/>
    </row>
    <row r="19" spans="1:6" s="38" customFormat="1" ht="27.6" x14ac:dyDescent="0.5">
      <c r="A19" s="21">
        <v>15</v>
      </c>
      <c r="B19" s="43" t="s">
        <v>26</v>
      </c>
      <c r="C19" s="44" t="s">
        <v>27</v>
      </c>
      <c r="D19" s="45">
        <v>77.775679999999994</v>
      </c>
      <c r="E19" s="2"/>
      <c r="F19" s="28">
        <f t="shared" ref="F19:F36" si="0">D19*E19</f>
        <v>0</v>
      </c>
    </row>
    <row r="20" spans="1:6" s="38" customFormat="1" ht="27.6" x14ac:dyDescent="0.5">
      <c r="A20" s="16">
        <v>16</v>
      </c>
      <c r="B20" s="43" t="s">
        <v>28</v>
      </c>
      <c r="C20" s="44" t="s">
        <v>27</v>
      </c>
      <c r="D20" s="45">
        <v>11.0825358</v>
      </c>
      <c r="E20" s="2"/>
      <c r="F20" s="28">
        <f t="shared" si="0"/>
        <v>0</v>
      </c>
    </row>
    <row r="21" spans="1:6" s="38" customFormat="1" ht="18" x14ac:dyDescent="0.5">
      <c r="A21" s="16">
        <v>17</v>
      </c>
      <c r="B21" s="43" t="s">
        <v>29</v>
      </c>
      <c r="C21" s="44" t="s">
        <v>27</v>
      </c>
      <c r="D21" s="45">
        <v>1.8470893000000002</v>
      </c>
      <c r="E21" s="2"/>
      <c r="F21" s="28">
        <f t="shared" si="0"/>
        <v>0</v>
      </c>
    </row>
    <row r="22" spans="1:6" s="38" customFormat="1" ht="18" x14ac:dyDescent="0.5">
      <c r="A22" s="21">
        <v>18</v>
      </c>
      <c r="B22" s="43" t="s">
        <v>30</v>
      </c>
      <c r="C22" s="44" t="s">
        <v>27</v>
      </c>
      <c r="D22" s="45">
        <v>7.2492552000000012</v>
      </c>
      <c r="E22" s="2"/>
      <c r="F22" s="28">
        <f t="shared" si="0"/>
        <v>0</v>
      </c>
    </row>
    <row r="23" spans="1:6" s="38" customFormat="1" ht="18" x14ac:dyDescent="0.5">
      <c r="A23" s="16">
        <v>19</v>
      </c>
      <c r="B23" s="43" t="s">
        <v>31</v>
      </c>
      <c r="C23" s="44" t="s">
        <v>27</v>
      </c>
      <c r="D23" s="45">
        <v>6.0939404000000001</v>
      </c>
      <c r="E23" s="2"/>
      <c r="F23" s="28">
        <f t="shared" si="0"/>
        <v>0</v>
      </c>
    </row>
    <row r="24" spans="1:6" s="38" customFormat="1" ht="18" x14ac:dyDescent="0.5">
      <c r="A24" s="16">
        <v>20</v>
      </c>
      <c r="B24" s="43" t="s">
        <v>32</v>
      </c>
      <c r="C24" s="44" t="s">
        <v>27</v>
      </c>
      <c r="D24" s="45">
        <v>13.647225000000001</v>
      </c>
      <c r="E24" s="2"/>
      <c r="F24" s="28">
        <f t="shared" si="0"/>
        <v>0</v>
      </c>
    </row>
    <row r="25" spans="1:6" s="38" customFormat="1" ht="18" x14ac:dyDescent="0.5">
      <c r="A25" s="21">
        <v>21</v>
      </c>
      <c r="B25" s="43" t="s">
        <v>33</v>
      </c>
      <c r="C25" s="44" t="s">
        <v>34</v>
      </c>
      <c r="D25" s="45">
        <v>150.81056600000002</v>
      </c>
      <c r="E25" s="2"/>
      <c r="F25" s="28">
        <f t="shared" si="0"/>
        <v>0</v>
      </c>
    </row>
    <row r="26" spans="1:6" s="38" customFormat="1" ht="18" x14ac:dyDescent="0.5">
      <c r="A26" s="16">
        <v>22</v>
      </c>
      <c r="B26" s="43" t="s">
        <v>35</v>
      </c>
      <c r="C26" s="44" t="s">
        <v>34</v>
      </c>
      <c r="D26" s="45">
        <v>74.037565999999998</v>
      </c>
      <c r="E26" s="2"/>
      <c r="F26" s="28">
        <f t="shared" si="0"/>
        <v>0</v>
      </c>
    </row>
    <row r="27" spans="1:6" s="38" customFormat="1" ht="18" x14ac:dyDescent="0.5">
      <c r="A27" s="16">
        <v>23</v>
      </c>
      <c r="B27" s="43" t="s">
        <v>36</v>
      </c>
      <c r="C27" s="44" t="s">
        <v>34</v>
      </c>
      <c r="D27" s="45">
        <v>26.267946000000002</v>
      </c>
      <c r="E27" s="2"/>
      <c r="F27" s="28">
        <f t="shared" si="0"/>
        <v>0</v>
      </c>
    </row>
    <row r="28" spans="1:6" s="38" customFormat="1" ht="18" x14ac:dyDescent="0.5">
      <c r="A28" s="21">
        <v>24</v>
      </c>
      <c r="B28" s="43" t="s">
        <v>37</v>
      </c>
      <c r="C28" s="44" t="s">
        <v>34</v>
      </c>
      <c r="D28" s="45">
        <v>15.3232</v>
      </c>
      <c r="E28" s="2"/>
      <c r="F28" s="28">
        <f t="shared" si="0"/>
        <v>0</v>
      </c>
    </row>
    <row r="29" spans="1:6" s="38" customFormat="1" ht="18" x14ac:dyDescent="0.5">
      <c r="A29" s="16">
        <v>25</v>
      </c>
      <c r="B29" s="43" t="s">
        <v>38</v>
      </c>
      <c r="C29" s="44" t="s">
        <v>39</v>
      </c>
      <c r="D29" s="45">
        <v>2</v>
      </c>
      <c r="E29" s="2"/>
      <c r="F29" s="28">
        <f t="shared" si="0"/>
        <v>0</v>
      </c>
    </row>
    <row r="30" spans="1:6" s="38" customFormat="1" ht="18" x14ac:dyDescent="0.5">
      <c r="A30" s="16">
        <v>26</v>
      </c>
      <c r="B30" s="43" t="s">
        <v>40</v>
      </c>
      <c r="C30" s="44" t="s">
        <v>16</v>
      </c>
      <c r="D30" s="45">
        <v>0.5</v>
      </c>
      <c r="E30" s="2"/>
      <c r="F30" s="28">
        <f t="shared" si="0"/>
        <v>0</v>
      </c>
    </row>
    <row r="31" spans="1:6" s="38" customFormat="1" ht="18" x14ac:dyDescent="0.5">
      <c r="A31" s="21">
        <v>27</v>
      </c>
      <c r="B31" s="43" t="s">
        <v>41</v>
      </c>
      <c r="C31" s="44" t="s">
        <v>14</v>
      </c>
      <c r="D31" s="45">
        <v>44.588000000000001</v>
      </c>
      <c r="E31" s="2"/>
      <c r="F31" s="28">
        <f t="shared" si="0"/>
        <v>0</v>
      </c>
    </row>
    <row r="32" spans="1:6" s="38" customFormat="1" ht="18" x14ac:dyDescent="0.5">
      <c r="A32" s="16">
        <v>28</v>
      </c>
      <c r="B32" s="43" t="s">
        <v>42</v>
      </c>
      <c r="C32" s="44" t="s">
        <v>34</v>
      </c>
      <c r="D32" s="45">
        <v>56.895026000000001</v>
      </c>
      <c r="E32" s="2"/>
      <c r="F32" s="28">
        <f t="shared" si="0"/>
        <v>0</v>
      </c>
    </row>
    <row r="33" spans="1:6" s="38" customFormat="1" ht="18" x14ac:dyDescent="0.5">
      <c r="A33" s="16">
        <v>29</v>
      </c>
      <c r="B33" s="43" t="s">
        <v>43</v>
      </c>
      <c r="C33" s="44" t="s">
        <v>34</v>
      </c>
      <c r="D33" s="45">
        <v>8.8862000000000005</v>
      </c>
      <c r="E33" s="2"/>
      <c r="F33" s="28">
        <f t="shared" si="0"/>
        <v>0</v>
      </c>
    </row>
    <row r="34" spans="1:6" s="38" customFormat="1" ht="18" x14ac:dyDescent="0.5">
      <c r="A34" s="21">
        <v>30</v>
      </c>
      <c r="B34" s="43" t="s">
        <v>44</v>
      </c>
      <c r="C34" s="44" t="s">
        <v>14</v>
      </c>
      <c r="D34" s="45">
        <v>8</v>
      </c>
      <c r="E34" s="2"/>
      <c r="F34" s="28">
        <f t="shared" si="0"/>
        <v>0</v>
      </c>
    </row>
    <row r="35" spans="1:6" s="38" customFormat="1" ht="18" x14ac:dyDescent="0.5">
      <c r="A35" s="16">
        <v>31</v>
      </c>
      <c r="B35" s="43" t="s">
        <v>45</v>
      </c>
      <c r="C35" s="44" t="s">
        <v>27</v>
      </c>
      <c r="D35" s="45">
        <v>0.27200000000000002</v>
      </c>
      <c r="E35" s="2"/>
      <c r="F35" s="28">
        <f t="shared" si="0"/>
        <v>0</v>
      </c>
    </row>
    <row r="36" spans="1:6" s="38" customFormat="1" ht="18" x14ac:dyDescent="0.5">
      <c r="A36" s="16">
        <v>32</v>
      </c>
      <c r="B36" s="46" t="s">
        <v>46</v>
      </c>
      <c r="C36" s="44" t="s">
        <v>34</v>
      </c>
      <c r="D36" s="45">
        <v>97.219599999999986</v>
      </c>
      <c r="E36" s="2"/>
      <c r="F36" s="28">
        <f t="shared" si="0"/>
        <v>0</v>
      </c>
    </row>
    <row r="37" spans="1:6" s="38" customFormat="1" ht="18" x14ac:dyDescent="0.5">
      <c r="A37" s="21">
        <v>33</v>
      </c>
      <c r="B37" s="43" t="s">
        <v>47</v>
      </c>
      <c r="C37" s="44"/>
      <c r="D37" s="45">
        <v>0</v>
      </c>
      <c r="E37" s="2"/>
      <c r="F37" s="28"/>
    </row>
    <row r="38" spans="1:6" s="38" customFormat="1" ht="18" customHeight="1" x14ac:dyDescent="0.5">
      <c r="A38" s="16">
        <v>34</v>
      </c>
      <c r="B38" s="43" t="s">
        <v>48</v>
      </c>
      <c r="C38" s="44" t="s">
        <v>27</v>
      </c>
      <c r="D38" s="45">
        <v>12.096</v>
      </c>
      <c r="E38" s="2"/>
      <c r="F38" s="28">
        <f t="shared" ref="F38:F48" si="1">D38*E38</f>
        <v>0</v>
      </c>
    </row>
    <row r="39" spans="1:6" s="38" customFormat="1" ht="18" x14ac:dyDescent="0.5">
      <c r="A39" s="16">
        <v>35</v>
      </c>
      <c r="B39" s="43" t="s">
        <v>49</v>
      </c>
      <c r="C39" s="44" t="s">
        <v>27</v>
      </c>
      <c r="D39" s="45">
        <v>1.5170000000000001</v>
      </c>
      <c r="E39" s="2"/>
      <c r="F39" s="28">
        <f t="shared" si="1"/>
        <v>0</v>
      </c>
    </row>
    <row r="40" spans="1:6" s="38" customFormat="1" ht="18" x14ac:dyDescent="0.5">
      <c r="A40" s="21">
        <v>36</v>
      </c>
      <c r="B40" s="43" t="s">
        <v>50</v>
      </c>
      <c r="C40" s="44" t="s">
        <v>27</v>
      </c>
      <c r="D40" s="45">
        <v>0.37925000000000003</v>
      </c>
      <c r="E40" s="2"/>
      <c r="F40" s="28">
        <f t="shared" si="1"/>
        <v>0</v>
      </c>
    </row>
    <row r="41" spans="1:6" s="38" customFormat="1" ht="18" x14ac:dyDescent="0.5">
      <c r="A41" s="16">
        <v>37</v>
      </c>
      <c r="B41" s="43" t="s">
        <v>51</v>
      </c>
      <c r="C41" s="44" t="s">
        <v>27</v>
      </c>
      <c r="D41" s="45">
        <v>1.2312000000000001</v>
      </c>
      <c r="E41" s="2"/>
      <c r="F41" s="28">
        <f t="shared" si="1"/>
        <v>0</v>
      </c>
    </row>
    <row r="42" spans="1:6" s="38" customFormat="1" ht="18" x14ac:dyDescent="0.5">
      <c r="A42" s="16">
        <v>38</v>
      </c>
      <c r="B42" s="43" t="s">
        <v>52</v>
      </c>
      <c r="C42" s="44" t="s">
        <v>27</v>
      </c>
      <c r="D42" s="45">
        <v>1.8900000000000001</v>
      </c>
      <c r="E42" s="2"/>
      <c r="F42" s="28">
        <f t="shared" si="1"/>
        <v>0</v>
      </c>
    </row>
    <row r="43" spans="1:6" s="38" customFormat="1" ht="18" x14ac:dyDescent="0.5">
      <c r="A43" s="21">
        <v>39</v>
      </c>
      <c r="B43" s="43" t="s">
        <v>53</v>
      </c>
      <c r="C43" s="44" t="s">
        <v>34</v>
      </c>
      <c r="D43" s="45">
        <v>11.200000000000001</v>
      </c>
      <c r="E43" s="2"/>
      <c r="F43" s="28">
        <f t="shared" si="1"/>
        <v>0</v>
      </c>
    </row>
    <row r="44" spans="1:6" s="38" customFormat="1" ht="18" x14ac:dyDescent="0.5">
      <c r="A44" s="16">
        <v>40</v>
      </c>
      <c r="B44" s="43" t="s">
        <v>54</v>
      </c>
      <c r="C44" s="44" t="s">
        <v>34</v>
      </c>
      <c r="D44" s="45">
        <v>6.99</v>
      </c>
      <c r="E44" s="2"/>
      <c r="F44" s="28">
        <f t="shared" si="1"/>
        <v>0</v>
      </c>
    </row>
    <row r="45" spans="1:6" s="38" customFormat="1" ht="18" x14ac:dyDescent="0.5">
      <c r="A45" s="16">
        <v>41</v>
      </c>
      <c r="B45" s="43" t="s">
        <v>55</v>
      </c>
      <c r="C45" s="44" t="s">
        <v>34</v>
      </c>
      <c r="D45" s="45">
        <v>4.0199999999999996</v>
      </c>
      <c r="E45" s="2"/>
      <c r="F45" s="28">
        <f t="shared" si="1"/>
        <v>0</v>
      </c>
    </row>
    <row r="46" spans="1:6" s="38" customFormat="1" ht="18" x14ac:dyDescent="0.5">
      <c r="A46" s="21">
        <v>42</v>
      </c>
      <c r="B46" s="43" t="s">
        <v>56</v>
      </c>
      <c r="C46" s="44" t="s">
        <v>57</v>
      </c>
      <c r="D46" s="45">
        <v>1</v>
      </c>
      <c r="E46" s="2"/>
      <c r="F46" s="28">
        <f t="shared" si="1"/>
        <v>0</v>
      </c>
    </row>
    <row r="47" spans="1:6" s="38" customFormat="1" ht="27.6" x14ac:dyDescent="0.5">
      <c r="A47" s="16">
        <v>43</v>
      </c>
      <c r="B47" s="43" t="s">
        <v>58</v>
      </c>
      <c r="C47" s="44" t="s">
        <v>59</v>
      </c>
      <c r="D47" s="45">
        <v>1</v>
      </c>
      <c r="E47" s="2"/>
      <c r="F47" s="28">
        <f t="shared" si="1"/>
        <v>0</v>
      </c>
    </row>
    <row r="48" spans="1:6" s="38" customFormat="1" ht="27.6" x14ac:dyDescent="0.5">
      <c r="A48" s="16">
        <v>44</v>
      </c>
      <c r="B48" s="46" t="s">
        <v>60</v>
      </c>
      <c r="C48" s="44" t="s">
        <v>16</v>
      </c>
      <c r="D48" s="45">
        <v>1</v>
      </c>
      <c r="E48" s="2"/>
      <c r="F48" s="28">
        <f t="shared" si="1"/>
        <v>0</v>
      </c>
    </row>
    <row r="49" spans="1:6" s="38" customFormat="1" ht="18" x14ac:dyDescent="0.5">
      <c r="A49" s="21">
        <v>45</v>
      </c>
      <c r="B49" s="43" t="s">
        <v>61</v>
      </c>
      <c r="C49" s="44"/>
      <c r="D49" s="45">
        <v>0</v>
      </c>
      <c r="E49" s="2"/>
      <c r="F49" s="28"/>
    </row>
    <row r="50" spans="1:6" s="38" customFormat="1" ht="27.6" x14ac:dyDescent="0.5">
      <c r="A50" s="16">
        <v>46</v>
      </c>
      <c r="B50" s="43" t="s">
        <v>62</v>
      </c>
      <c r="C50" s="44" t="s">
        <v>27</v>
      </c>
      <c r="D50" s="45">
        <v>3.04</v>
      </c>
      <c r="E50" s="2"/>
      <c r="F50" s="28">
        <f t="shared" ref="F50:F58" si="2">D50*E50</f>
        <v>0</v>
      </c>
    </row>
    <row r="51" spans="1:6" s="38" customFormat="1" ht="18" x14ac:dyDescent="0.5">
      <c r="A51" s="16">
        <v>47</v>
      </c>
      <c r="B51" s="43" t="s">
        <v>63</v>
      </c>
      <c r="C51" s="44" t="s">
        <v>27</v>
      </c>
      <c r="D51" s="45">
        <v>0.13500000000000001</v>
      </c>
      <c r="E51" s="2"/>
      <c r="F51" s="28">
        <f t="shared" si="2"/>
        <v>0</v>
      </c>
    </row>
    <row r="52" spans="1:6" s="38" customFormat="1" ht="18" x14ac:dyDescent="0.5">
      <c r="A52" s="21">
        <v>48</v>
      </c>
      <c r="B52" s="43" t="s">
        <v>64</v>
      </c>
      <c r="C52" s="44" t="s">
        <v>27</v>
      </c>
      <c r="D52" s="45">
        <v>4.5000000000000005E-2</v>
      </c>
      <c r="E52" s="2"/>
      <c r="F52" s="28">
        <f t="shared" si="2"/>
        <v>0</v>
      </c>
    </row>
    <row r="53" spans="1:6" s="38" customFormat="1" ht="18" x14ac:dyDescent="0.5">
      <c r="A53" s="16">
        <v>49</v>
      </c>
      <c r="B53" s="43" t="s">
        <v>65</v>
      </c>
      <c r="C53" s="44" t="s">
        <v>27</v>
      </c>
      <c r="D53" s="45">
        <v>9.0000000000000011E-2</v>
      </c>
      <c r="E53" s="2"/>
      <c r="F53" s="28">
        <f t="shared" si="2"/>
        <v>0</v>
      </c>
    </row>
    <row r="54" spans="1:6" s="38" customFormat="1" ht="18" x14ac:dyDescent="0.5">
      <c r="A54" s="16">
        <v>50</v>
      </c>
      <c r="B54" s="43" t="s">
        <v>66</v>
      </c>
      <c r="C54" s="44" t="s">
        <v>27</v>
      </c>
      <c r="D54" s="45">
        <v>0.192</v>
      </c>
      <c r="E54" s="2"/>
      <c r="F54" s="28">
        <f t="shared" si="2"/>
        <v>0</v>
      </c>
    </row>
    <row r="55" spans="1:6" s="38" customFormat="1" ht="18" x14ac:dyDescent="0.5">
      <c r="A55" s="21">
        <v>51</v>
      </c>
      <c r="B55" s="43" t="s">
        <v>67</v>
      </c>
      <c r="C55" s="44" t="s">
        <v>34</v>
      </c>
      <c r="D55" s="45">
        <v>2.04</v>
      </c>
      <c r="E55" s="2"/>
      <c r="F55" s="28">
        <f t="shared" si="2"/>
        <v>0</v>
      </c>
    </row>
    <row r="56" spans="1:6" s="38" customFormat="1" ht="18" x14ac:dyDescent="0.5">
      <c r="A56" s="16">
        <v>52</v>
      </c>
      <c r="B56" s="43" t="s">
        <v>68</v>
      </c>
      <c r="C56" s="44" t="s">
        <v>39</v>
      </c>
      <c r="D56" s="45">
        <v>1</v>
      </c>
      <c r="E56" s="2"/>
      <c r="F56" s="28">
        <f t="shared" si="2"/>
        <v>0</v>
      </c>
    </row>
    <row r="57" spans="1:6" s="38" customFormat="1" ht="27.6" x14ac:dyDescent="0.5">
      <c r="A57" s="16">
        <v>53</v>
      </c>
      <c r="B57" s="43" t="s">
        <v>69</v>
      </c>
      <c r="C57" s="44" t="s">
        <v>59</v>
      </c>
      <c r="D57" s="45">
        <v>36.543675999999998</v>
      </c>
      <c r="E57" s="2"/>
      <c r="F57" s="28">
        <f t="shared" si="2"/>
        <v>0</v>
      </c>
    </row>
    <row r="58" spans="1:6" s="38" customFormat="1" ht="18" x14ac:dyDescent="0.5">
      <c r="A58" s="21">
        <v>54</v>
      </c>
      <c r="B58" s="47" t="s">
        <v>70</v>
      </c>
      <c r="C58" s="33" t="s">
        <v>57</v>
      </c>
      <c r="D58" s="33">
        <v>1</v>
      </c>
      <c r="E58" s="143"/>
      <c r="F58" s="33">
        <f t="shared" si="2"/>
        <v>0</v>
      </c>
    </row>
    <row r="59" spans="1:6" s="35" customFormat="1" ht="16.2" customHeight="1" x14ac:dyDescent="0.5">
      <c r="A59" s="16">
        <v>55</v>
      </c>
      <c r="B59" s="48" t="s">
        <v>71</v>
      </c>
      <c r="C59" s="49"/>
      <c r="D59" s="49"/>
      <c r="E59" s="146"/>
      <c r="F59" s="50">
        <f>SUM(F20:F58)</f>
        <v>0</v>
      </c>
    </row>
    <row r="60" spans="1:6" s="52" customFormat="1" ht="19.2" x14ac:dyDescent="0.5">
      <c r="A60" s="16">
        <v>56</v>
      </c>
      <c r="B60" s="17" t="s">
        <v>72</v>
      </c>
      <c r="C60" s="18" t="s">
        <v>73</v>
      </c>
      <c r="D60" s="51" t="s">
        <v>73</v>
      </c>
      <c r="E60" s="147"/>
      <c r="F60" s="20">
        <f>F59+F17+F13+F9</f>
        <v>0</v>
      </c>
    </row>
    <row r="61" spans="1:6" s="15" customFormat="1" ht="19.2" x14ac:dyDescent="0.5">
      <c r="A61" s="21">
        <v>57</v>
      </c>
      <c r="B61" s="48" t="s">
        <v>74</v>
      </c>
      <c r="C61" s="49"/>
      <c r="D61" s="53"/>
      <c r="E61" s="146"/>
      <c r="F61" s="50">
        <f>F60*0.18</f>
        <v>0</v>
      </c>
    </row>
    <row r="62" spans="1:6" s="15" customFormat="1" ht="19.2" x14ac:dyDescent="0.5">
      <c r="A62" s="16">
        <v>58</v>
      </c>
      <c r="B62" s="54" t="s">
        <v>75</v>
      </c>
      <c r="C62" s="55"/>
      <c r="D62" s="56"/>
      <c r="E62" s="148"/>
      <c r="F62" s="57">
        <f>F60+F61</f>
        <v>0</v>
      </c>
    </row>
    <row r="63" spans="1:6" ht="18" x14ac:dyDescent="0.5">
      <c r="A63" s="16">
        <v>59</v>
      </c>
      <c r="B63" s="8" t="s">
        <v>76</v>
      </c>
      <c r="C63" s="58"/>
      <c r="D63" s="59"/>
      <c r="E63" s="149"/>
      <c r="F63" s="58"/>
    </row>
    <row r="64" spans="1:6" ht="18" x14ac:dyDescent="0.5">
      <c r="A64" s="21">
        <v>60</v>
      </c>
      <c r="B64" s="60" t="s">
        <v>2</v>
      </c>
      <c r="C64" s="61" t="s">
        <v>3</v>
      </c>
      <c r="D64" s="62" t="s">
        <v>4</v>
      </c>
      <c r="E64" s="150"/>
      <c r="F64" s="61" t="s">
        <v>6</v>
      </c>
    </row>
    <row r="65" spans="1:6" s="65" customFormat="1" ht="18" x14ac:dyDescent="0.5">
      <c r="A65" s="16">
        <v>61</v>
      </c>
      <c r="B65" s="63" t="s">
        <v>7</v>
      </c>
      <c r="C65" s="64"/>
      <c r="D65" s="64"/>
      <c r="E65" s="151"/>
      <c r="F65" s="64"/>
    </row>
    <row r="66" spans="1:6" s="65" customFormat="1" ht="36" x14ac:dyDescent="0.5">
      <c r="A66" s="16">
        <v>62</v>
      </c>
      <c r="B66" s="66" t="s">
        <v>77</v>
      </c>
      <c r="C66" s="26" t="s">
        <v>21</v>
      </c>
      <c r="D66" s="27">
        <v>1</v>
      </c>
      <c r="E66" s="141"/>
      <c r="F66" s="26">
        <f>E66*D66</f>
        <v>0</v>
      </c>
    </row>
    <row r="67" spans="1:6" s="65" customFormat="1" ht="36" x14ac:dyDescent="0.5">
      <c r="A67" s="21">
        <v>63</v>
      </c>
      <c r="B67" s="66" t="s">
        <v>10</v>
      </c>
      <c r="C67" s="26" t="s">
        <v>21</v>
      </c>
      <c r="D67" s="27">
        <v>1</v>
      </c>
      <c r="E67" s="141"/>
      <c r="F67" s="26">
        <f>E67*D67</f>
        <v>0</v>
      </c>
    </row>
    <row r="68" spans="1:6" s="65" customFormat="1" ht="18" x14ac:dyDescent="0.5">
      <c r="A68" s="16">
        <v>64</v>
      </c>
      <c r="B68" s="67" t="s">
        <v>11</v>
      </c>
      <c r="C68" s="68" t="s">
        <v>73</v>
      </c>
      <c r="D68" s="68" t="s">
        <v>73</v>
      </c>
      <c r="E68" s="152"/>
      <c r="F68" s="69">
        <f>SUM(F66:F67)</f>
        <v>0</v>
      </c>
    </row>
    <row r="69" spans="1:6" s="65" customFormat="1" ht="36" x14ac:dyDescent="0.5">
      <c r="A69" s="16">
        <v>65</v>
      </c>
      <c r="B69" s="63" t="s">
        <v>78</v>
      </c>
      <c r="C69" s="64"/>
      <c r="D69" s="64"/>
      <c r="E69" s="151"/>
      <c r="F69" s="64"/>
    </row>
    <row r="70" spans="1:6" s="65" customFormat="1" ht="36" x14ac:dyDescent="0.5">
      <c r="A70" s="21">
        <v>66</v>
      </c>
      <c r="B70" s="70" t="s">
        <v>79</v>
      </c>
      <c r="C70" s="30" t="s">
        <v>21</v>
      </c>
      <c r="D70" s="30">
        <v>2</v>
      </c>
      <c r="E70" s="142"/>
      <c r="F70" s="31">
        <f t="shared" ref="F70:F75" si="3">E70*D70</f>
        <v>0</v>
      </c>
    </row>
    <row r="71" spans="1:6" s="65" customFormat="1" ht="36" x14ac:dyDescent="0.5">
      <c r="A71" s="16">
        <v>67</v>
      </c>
      <c r="B71" s="70" t="s">
        <v>80</v>
      </c>
      <c r="C71" s="30" t="s">
        <v>21</v>
      </c>
      <c r="D71" s="30">
        <v>4</v>
      </c>
      <c r="E71" s="142"/>
      <c r="F71" s="31">
        <f t="shared" si="3"/>
        <v>0</v>
      </c>
    </row>
    <row r="72" spans="1:6" s="65" customFormat="1" ht="36" x14ac:dyDescent="0.5">
      <c r="A72" s="16">
        <v>68</v>
      </c>
      <c r="B72" s="70" t="s">
        <v>81</v>
      </c>
      <c r="C72" s="30" t="s">
        <v>21</v>
      </c>
      <c r="D72" s="30">
        <v>8</v>
      </c>
      <c r="E72" s="142"/>
      <c r="F72" s="31">
        <f t="shared" si="3"/>
        <v>0</v>
      </c>
    </row>
    <row r="73" spans="1:6" s="65" customFormat="1" ht="36" x14ac:dyDescent="0.5">
      <c r="A73" s="21">
        <v>69</v>
      </c>
      <c r="B73" s="70" t="s">
        <v>82</v>
      </c>
      <c r="C73" s="30" t="s">
        <v>21</v>
      </c>
      <c r="D73" s="30">
        <v>2</v>
      </c>
      <c r="E73" s="142"/>
      <c r="F73" s="31">
        <f t="shared" si="3"/>
        <v>0</v>
      </c>
    </row>
    <row r="74" spans="1:6" s="65" customFormat="1" ht="72" x14ac:dyDescent="0.5">
      <c r="A74" s="16">
        <v>70</v>
      </c>
      <c r="B74" s="70" t="s">
        <v>83</v>
      </c>
      <c r="C74" s="30" t="s">
        <v>59</v>
      </c>
      <c r="D74" s="30">
        <v>1068</v>
      </c>
      <c r="E74" s="142"/>
      <c r="F74" s="31">
        <f t="shared" si="3"/>
        <v>0</v>
      </c>
    </row>
    <row r="75" spans="1:6" s="65" customFormat="1" ht="36" x14ac:dyDescent="0.5">
      <c r="A75" s="16">
        <v>71</v>
      </c>
      <c r="B75" s="70" t="s">
        <v>84</v>
      </c>
      <c r="C75" s="30" t="s">
        <v>21</v>
      </c>
      <c r="D75" s="30">
        <v>1</v>
      </c>
      <c r="E75" s="142"/>
      <c r="F75" s="31">
        <f t="shared" si="3"/>
        <v>0</v>
      </c>
    </row>
    <row r="76" spans="1:6" s="65" customFormat="1" ht="18" x14ac:dyDescent="0.5">
      <c r="A76" s="21">
        <v>72</v>
      </c>
      <c r="B76" s="67" t="s">
        <v>85</v>
      </c>
      <c r="C76" s="68" t="s">
        <v>73</v>
      </c>
      <c r="D76" s="68" t="s">
        <v>73</v>
      </c>
      <c r="E76" s="152"/>
      <c r="F76" s="69">
        <f>SUM(F70:F75)</f>
        <v>0</v>
      </c>
    </row>
    <row r="77" spans="1:6" s="65" customFormat="1" ht="18" x14ac:dyDescent="0.5">
      <c r="A77" s="16">
        <v>73</v>
      </c>
      <c r="B77" s="63" t="s">
        <v>86</v>
      </c>
      <c r="C77" s="64" t="s">
        <v>73</v>
      </c>
      <c r="D77" s="64" t="s">
        <v>73</v>
      </c>
      <c r="E77" s="151"/>
      <c r="F77" s="30" t="s">
        <v>73</v>
      </c>
    </row>
    <row r="78" spans="1:6" s="65" customFormat="1" ht="18" x14ac:dyDescent="0.5">
      <c r="A78" s="16">
        <v>74</v>
      </c>
      <c r="B78" s="71" t="s">
        <v>87</v>
      </c>
      <c r="C78" s="30" t="s">
        <v>34</v>
      </c>
      <c r="D78" s="31">
        <v>8.1991680000000002</v>
      </c>
      <c r="E78" s="142"/>
      <c r="F78" s="31">
        <f>D78*E78</f>
        <v>0</v>
      </c>
    </row>
    <row r="79" spans="1:6" s="65" customFormat="1" ht="18" x14ac:dyDescent="0.5">
      <c r="A79" s="21">
        <v>75</v>
      </c>
      <c r="B79" s="70" t="s">
        <v>88</v>
      </c>
      <c r="C79" s="30" t="s">
        <v>89</v>
      </c>
      <c r="D79" s="30">
        <v>0.42</v>
      </c>
      <c r="E79" s="142"/>
      <c r="F79" s="31">
        <f t="shared" ref="F79:F86" si="4">E79*D79</f>
        <v>0</v>
      </c>
    </row>
    <row r="80" spans="1:6" s="65" customFormat="1" ht="18" x14ac:dyDescent="0.5">
      <c r="A80" s="16">
        <v>76</v>
      </c>
      <c r="B80" s="70" t="s">
        <v>90</v>
      </c>
      <c r="C80" s="30" t="s">
        <v>89</v>
      </c>
      <c r="D80" s="30">
        <v>1</v>
      </c>
      <c r="E80" s="142"/>
      <c r="F80" s="31">
        <f t="shared" si="4"/>
        <v>0</v>
      </c>
    </row>
    <row r="81" spans="1:6" s="65" customFormat="1" ht="18" x14ac:dyDescent="0.5">
      <c r="A81" s="16">
        <v>77</v>
      </c>
      <c r="B81" s="70" t="s">
        <v>91</v>
      </c>
      <c r="C81" s="30" t="s">
        <v>92</v>
      </c>
      <c r="D81" s="30">
        <v>1</v>
      </c>
      <c r="E81" s="142"/>
      <c r="F81" s="31">
        <f t="shared" si="4"/>
        <v>0</v>
      </c>
    </row>
    <row r="82" spans="1:6" s="65" customFormat="1" ht="18" x14ac:dyDescent="0.5">
      <c r="A82" s="21">
        <v>78</v>
      </c>
      <c r="B82" s="70" t="s">
        <v>93</v>
      </c>
      <c r="C82" s="30" t="s">
        <v>94</v>
      </c>
      <c r="D82" s="30">
        <v>61.8</v>
      </c>
      <c r="E82" s="142"/>
      <c r="F82" s="31">
        <f t="shared" si="4"/>
        <v>0</v>
      </c>
    </row>
    <row r="83" spans="1:6" s="65" customFormat="1" ht="18" x14ac:dyDescent="0.5">
      <c r="A83" s="16">
        <v>79</v>
      </c>
      <c r="B83" s="70" t="s">
        <v>95</v>
      </c>
      <c r="C83" s="30" t="s">
        <v>94</v>
      </c>
      <c r="D83" s="30">
        <v>95.4</v>
      </c>
      <c r="E83" s="142"/>
      <c r="F83" s="31">
        <f t="shared" si="4"/>
        <v>0</v>
      </c>
    </row>
    <row r="84" spans="1:6" s="65" customFormat="1" ht="18" x14ac:dyDescent="0.5">
      <c r="A84" s="16">
        <v>80</v>
      </c>
      <c r="B84" s="70" t="s">
        <v>96</v>
      </c>
      <c r="C84" s="30" t="s">
        <v>94</v>
      </c>
      <c r="D84" s="30">
        <v>60</v>
      </c>
      <c r="E84" s="142"/>
      <c r="F84" s="31">
        <f t="shared" si="4"/>
        <v>0</v>
      </c>
    </row>
    <row r="85" spans="1:6" s="65" customFormat="1" ht="36" x14ac:dyDescent="0.5">
      <c r="A85" s="21">
        <v>81</v>
      </c>
      <c r="B85" s="70" t="s">
        <v>97</v>
      </c>
      <c r="C85" s="30" t="s">
        <v>16</v>
      </c>
      <c r="D85" s="30">
        <v>1</v>
      </c>
      <c r="E85" s="142"/>
      <c r="F85" s="31">
        <f t="shared" si="4"/>
        <v>0</v>
      </c>
    </row>
    <row r="86" spans="1:6" s="65" customFormat="1" ht="36" x14ac:dyDescent="0.5">
      <c r="A86" s="16">
        <v>82</v>
      </c>
      <c r="B86" s="70" t="s">
        <v>98</v>
      </c>
      <c r="C86" s="30" t="s">
        <v>16</v>
      </c>
      <c r="D86" s="30">
        <v>1</v>
      </c>
      <c r="E86" s="142"/>
      <c r="F86" s="31">
        <f t="shared" si="4"/>
        <v>0</v>
      </c>
    </row>
    <row r="87" spans="1:6" s="65" customFormat="1" ht="27.6" x14ac:dyDescent="0.5">
      <c r="A87" s="16">
        <v>83</v>
      </c>
      <c r="B87" s="71" t="s">
        <v>99</v>
      </c>
      <c r="C87" s="30" t="s">
        <v>27</v>
      </c>
      <c r="D87" s="30">
        <v>2.4020999999999999</v>
      </c>
      <c r="E87" s="153"/>
      <c r="F87" s="30">
        <f>D87*E87</f>
        <v>0</v>
      </c>
    </row>
    <row r="88" spans="1:6" s="65" customFormat="1" ht="18" x14ac:dyDescent="0.5">
      <c r="A88" s="21">
        <v>84</v>
      </c>
      <c r="B88" s="72" t="s">
        <v>100</v>
      </c>
      <c r="C88" s="73" t="s">
        <v>73</v>
      </c>
      <c r="D88" s="73" t="s">
        <v>73</v>
      </c>
      <c r="E88" s="154"/>
      <c r="F88" s="74">
        <f>SUM(F78:F87)</f>
        <v>0</v>
      </c>
    </row>
    <row r="89" spans="1:6" s="65" customFormat="1" ht="18" x14ac:dyDescent="0.5">
      <c r="A89" s="16">
        <v>85</v>
      </c>
      <c r="B89" s="72" t="s">
        <v>101</v>
      </c>
      <c r="C89" s="73" t="s">
        <v>73</v>
      </c>
      <c r="D89" s="73" t="s">
        <v>73</v>
      </c>
      <c r="E89" s="154"/>
      <c r="F89" s="74">
        <f>F88+F76+F68</f>
        <v>0</v>
      </c>
    </row>
    <row r="90" spans="1:6" s="65" customFormat="1" ht="18" x14ac:dyDescent="0.5">
      <c r="A90" s="16">
        <v>86</v>
      </c>
      <c r="B90" s="75" t="s">
        <v>74</v>
      </c>
      <c r="C90" s="76"/>
      <c r="D90" s="77"/>
      <c r="E90" s="155"/>
      <c r="F90" s="77">
        <f>F89*0.18</f>
        <v>0</v>
      </c>
    </row>
    <row r="91" spans="1:6" s="65" customFormat="1" ht="38.4" x14ac:dyDescent="0.5">
      <c r="A91" s="21">
        <v>87</v>
      </c>
      <c r="B91" s="52" t="s">
        <v>102</v>
      </c>
      <c r="C91" s="49"/>
      <c r="D91" s="53"/>
      <c r="E91" s="146"/>
      <c r="F91" s="78">
        <f>F89+F90</f>
        <v>0</v>
      </c>
    </row>
    <row r="92" spans="1:6" ht="18" x14ac:dyDescent="0.5">
      <c r="A92" s="16">
        <v>88</v>
      </c>
      <c r="B92" s="8" t="s">
        <v>103</v>
      </c>
      <c r="C92" s="58"/>
      <c r="D92" s="59"/>
      <c r="E92" s="149"/>
      <c r="F92" s="58"/>
    </row>
    <row r="93" spans="1:6" ht="18" x14ac:dyDescent="0.5">
      <c r="A93" s="16">
        <v>89</v>
      </c>
      <c r="B93" s="60" t="s">
        <v>2</v>
      </c>
      <c r="C93" s="61" t="s">
        <v>3</v>
      </c>
      <c r="D93" s="62" t="s">
        <v>4</v>
      </c>
      <c r="E93" s="150"/>
      <c r="F93" s="61" t="s">
        <v>6</v>
      </c>
    </row>
    <row r="94" spans="1:6" s="65" customFormat="1" ht="18" x14ac:dyDescent="0.5">
      <c r="A94" s="21">
        <v>90</v>
      </c>
      <c r="B94" s="63" t="s">
        <v>104</v>
      </c>
      <c r="C94" s="64" t="s">
        <v>73</v>
      </c>
      <c r="D94" s="64" t="s">
        <v>73</v>
      </c>
      <c r="E94" s="151"/>
      <c r="F94" s="64" t="s">
        <v>73</v>
      </c>
    </row>
    <row r="95" spans="1:6" s="65" customFormat="1" ht="18" x14ac:dyDescent="0.5">
      <c r="A95" s="16">
        <v>91</v>
      </c>
      <c r="B95" s="70" t="s">
        <v>105</v>
      </c>
      <c r="C95" s="30" t="s">
        <v>16</v>
      </c>
      <c r="D95" s="30">
        <v>1</v>
      </c>
      <c r="E95" s="142"/>
      <c r="F95" s="31">
        <f>E95*D95</f>
        <v>0</v>
      </c>
    </row>
    <row r="96" spans="1:6" s="65" customFormat="1" ht="18" x14ac:dyDescent="0.5">
      <c r="A96" s="16">
        <v>92</v>
      </c>
      <c r="B96" s="63" t="s">
        <v>106</v>
      </c>
      <c r="C96" s="64" t="s">
        <v>73</v>
      </c>
      <c r="D96" s="64" t="s">
        <v>73</v>
      </c>
      <c r="E96" s="151"/>
      <c r="F96" s="79">
        <f>SUM(F95:F95)</f>
        <v>0</v>
      </c>
    </row>
    <row r="97" spans="1:6" s="65" customFormat="1" ht="18" x14ac:dyDescent="0.5">
      <c r="A97" s="21">
        <v>93</v>
      </c>
      <c r="B97" s="63" t="s">
        <v>107</v>
      </c>
      <c r="C97" s="64" t="s">
        <v>73</v>
      </c>
      <c r="D97" s="64" t="s">
        <v>73</v>
      </c>
      <c r="E97" s="151"/>
      <c r="F97" s="30" t="s">
        <v>73</v>
      </c>
    </row>
    <row r="98" spans="1:6" s="65" customFormat="1" ht="36" x14ac:dyDescent="0.5">
      <c r="A98" s="16">
        <v>94</v>
      </c>
      <c r="B98" s="70" t="s">
        <v>108</v>
      </c>
      <c r="C98" s="30" t="s">
        <v>21</v>
      </c>
      <c r="D98" s="30">
        <v>1</v>
      </c>
      <c r="E98" s="142"/>
      <c r="F98" s="31">
        <f>E98*D98</f>
        <v>0</v>
      </c>
    </row>
    <row r="99" spans="1:6" s="65" customFormat="1" ht="18" x14ac:dyDescent="0.5">
      <c r="A99" s="16">
        <v>95</v>
      </c>
      <c r="B99" s="70" t="s">
        <v>109</v>
      </c>
      <c r="C99" s="30" t="s">
        <v>16</v>
      </c>
      <c r="D99" s="30">
        <v>1</v>
      </c>
      <c r="E99" s="142"/>
      <c r="F99" s="31">
        <f>E99*D99</f>
        <v>0</v>
      </c>
    </row>
    <row r="100" spans="1:6" s="65" customFormat="1" ht="18" x14ac:dyDescent="0.5">
      <c r="A100" s="21">
        <v>96</v>
      </c>
      <c r="B100" s="63" t="s">
        <v>106</v>
      </c>
      <c r="C100" s="64" t="s">
        <v>73</v>
      </c>
      <c r="D100" s="64" t="s">
        <v>73</v>
      </c>
      <c r="E100" s="151"/>
      <c r="F100" s="79">
        <f>SUM(F98:F99)</f>
        <v>0</v>
      </c>
    </row>
    <row r="101" spans="1:6" s="65" customFormat="1" ht="18" x14ac:dyDescent="0.5">
      <c r="A101" s="16">
        <v>97</v>
      </c>
      <c r="B101" s="63" t="s">
        <v>110</v>
      </c>
      <c r="C101" s="64" t="s">
        <v>73</v>
      </c>
      <c r="D101" s="64" t="s">
        <v>73</v>
      </c>
      <c r="E101" s="151"/>
      <c r="F101" s="30" t="s">
        <v>73</v>
      </c>
    </row>
    <row r="102" spans="1:6" s="65" customFormat="1" ht="18" x14ac:dyDescent="0.5">
      <c r="A102" s="16">
        <v>98</v>
      </c>
      <c r="B102" s="63" t="s">
        <v>111</v>
      </c>
      <c r="C102" s="64" t="s">
        <v>73</v>
      </c>
      <c r="D102" s="64" t="s">
        <v>73</v>
      </c>
      <c r="E102" s="151"/>
      <c r="F102" s="30" t="s">
        <v>73</v>
      </c>
    </row>
    <row r="103" spans="1:6" s="65" customFormat="1" ht="18" x14ac:dyDescent="0.5">
      <c r="A103" s="21">
        <v>99</v>
      </c>
      <c r="B103" s="70" t="s">
        <v>88</v>
      </c>
      <c r="C103" s="30" t="s">
        <v>89</v>
      </c>
      <c r="D103" s="30">
        <v>0.42</v>
      </c>
      <c r="E103" s="142"/>
      <c r="F103" s="31">
        <f t="shared" ref="F103:F109" si="5">E103*D103</f>
        <v>0</v>
      </c>
    </row>
    <row r="104" spans="1:6" s="65" customFormat="1" ht="18" x14ac:dyDescent="0.5">
      <c r="A104" s="16">
        <v>100</v>
      </c>
      <c r="B104" s="70" t="s">
        <v>90</v>
      </c>
      <c r="C104" s="30" t="s">
        <v>89</v>
      </c>
      <c r="D104" s="30">
        <v>1</v>
      </c>
      <c r="E104" s="142"/>
      <c r="F104" s="31">
        <f t="shared" si="5"/>
        <v>0</v>
      </c>
    </row>
    <row r="105" spans="1:6" s="65" customFormat="1" ht="18" x14ac:dyDescent="0.5">
      <c r="A105" s="16">
        <v>101</v>
      </c>
      <c r="B105" s="70" t="s">
        <v>112</v>
      </c>
      <c r="C105" s="30" t="s">
        <v>92</v>
      </c>
      <c r="D105" s="30">
        <v>1</v>
      </c>
      <c r="E105" s="142"/>
      <c r="F105" s="31">
        <f t="shared" si="5"/>
        <v>0</v>
      </c>
    </row>
    <row r="106" spans="1:6" s="65" customFormat="1" ht="18" x14ac:dyDescent="0.5">
      <c r="A106" s="21">
        <v>102</v>
      </c>
      <c r="B106" s="70" t="s">
        <v>113</v>
      </c>
      <c r="C106" s="30" t="s">
        <v>94</v>
      </c>
      <c r="D106" s="30">
        <v>20.6</v>
      </c>
      <c r="E106" s="142"/>
      <c r="F106" s="31">
        <f t="shared" si="5"/>
        <v>0</v>
      </c>
    </row>
    <row r="107" spans="1:6" s="65" customFormat="1" ht="18" x14ac:dyDescent="0.5">
      <c r="A107" s="16">
        <v>103</v>
      </c>
      <c r="B107" s="70" t="s">
        <v>114</v>
      </c>
      <c r="C107" s="30" t="s">
        <v>94</v>
      </c>
      <c r="D107" s="30">
        <v>31.8</v>
      </c>
      <c r="E107" s="142"/>
      <c r="F107" s="31">
        <f t="shared" si="5"/>
        <v>0</v>
      </c>
    </row>
    <row r="108" spans="1:6" s="65" customFormat="1" ht="18" x14ac:dyDescent="0.5">
      <c r="A108" s="16">
        <v>104</v>
      </c>
      <c r="B108" s="70" t="s">
        <v>115</v>
      </c>
      <c r="C108" s="30" t="s">
        <v>94</v>
      </c>
      <c r="D108" s="30">
        <v>20</v>
      </c>
      <c r="E108" s="142"/>
      <c r="F108" s="31">
        <f t="shared" si="5"/>
        <v>0</v>
      </c>
    </row>
    <row r="109" spans="1:6" s="65" customFormat="1" ht="36" x14ac:dyDescent="0.5">
      <c r="A109" s="21">
        <v>105</v>
      </c>
      <c r="B109" s="70" t="s">
        <v>116</v>
      </c>
      <c r="C109" s="30" t="s">
        <v>16</v>
      </c>
      <c r="D109" s="30">
        <v>1</v>
      </c>
      <c r="E109" s="142"/>
      <c r="F109" s="31">
        <f t="shared" si="5"/>
        <v>0</v>
      </c>
    </row>
    <row r="110" spans="1:6" s="65" customFormat="1" ht="18" x14ac:dyDescent="0.5">
      <c r="A110" s="16">
        <v>106</v>
      </c>
      <c r="B110" s="63" t="s">
        <v>106</v>
      </c>
      <c r="C110" s="64" t="s">
        <v>73</v>
      </c>
      <c r="D110" s="64" t="s">
        <v>73</v>
      </c>
      <c r="E110" s="151"/>
      <c r="F110" s="79">
        <f>SUM(F103:F109)</f>
        <v>0</v>
      </c>
    </row>
    <row r="111" spans="1:6" s="65" customFormat="1" ht="18" x14ac:dyDescent="0.5">
      <c r="A111" s="16">
        <v>107</v>
      </c>
      <c r="B111" s="67" t="s">
        <v>117</v>
      </c>
      <c r="C111" s="68" t="s">
        <v>73</v>
      </c>
      <c r="D111" s="68" t="s">
        <v>73</v>
      </c>
      <c r="E111" s="152"/>
      <c r="F111" s="69">
        <f>F110+F100+F96</f>
        <v>0</v>
      </c>
    </row>
    <row r="112" spans="1:6" s="65" customFormat="1" ht="19.2" x14ac:dyDescent="0.5">
      <c r="A112" s="21">
        <v>108</v>
      </c>
      <c r="B112" s="80" t="s">
        <v>118</v>
      </c>
      <c r="C112" s="81"/>
      <c r="D112" s="56">
        <v>1</v>
      </c>
      <c r="E112" s="148"/>
      <c r="F112" s="82">
        <f>F111*D112</f>
        <v>0</v>
      </c>
    </row>
    <row r="113" spans="1:6" s="65" customFormat="1" ht="19.2" x14ac:dyDescent="0.5">
      <c r="A113" s="16">
        <v>109</v>
      </c>
      <c r="B113" s="80" t="s">
        <v>119</v>
      </c>
      <c r="C113" s="55"/>
      <c r="D113" s="56"/>
      <c r="E113" s="148"/>
      <c r="F113" s="82">
        <f>F112*18/100</f>
        <v>0</v>
      </c>
    </row>
    <row r="114" spans="1:6" ht="19.2" x14ac:dyDescent="0.5">
      <c r="A114" s="16">
        <v>110</v>
      </c>
      <c r="B114" s="83" t="s">
        <v>120</v>
      </c>
      <c r="C114" s="84"/>
      <c r="D114" s="85"/>
      <c r="E114" s="156"/>
      <c r="F114" s="86">
        <f>F113+F112</f>
        <v>0</v>
      </c>
    </row>
    <row r="115" spans="1:6" ht="18" x14ac:dyDescent="0.5">
      <c r="A115" s="21">
        <v>111</v>
      </c>
      <c r="B115" s="8" t="s">
        <v>121</v>
      </c>
      <c r="C115" s="58"/>
      <c r="D115" s="59"/>
      <c r="E115" s="149"/>
      <c r="F115" s="58"/>
    </row>
    <row r="116" spans="1:6" ht="18" x14ac:dyDescent="0.5">
      <c r="A116" s="16">
        <v>112</v>
      </c>
      <c r="B116" s="60" t="s">
        <v>122</v>
      </c>
      <c r="C116" s="61" t="s">
        <v>3</v>
      </c>
      <c r="D116" s="62" t="s">
        <v>123</v>
      </c>
      <c r="E116" s="150"/>
      <c r="F116" s="61" t="s">
        <v>124</v>
      </c>
    </row>
    <row r="117" spans="1:6" s="65" customFormat="1" ht="27.6" x14ac:dyDescent="0.5">
      <c r="A117" s="16">
        <v>113</v>
      </c>
      <c r="B117" s="71" t="s">
        <v>125</v>
      </c>
      <c r="C117" s="87" t="s">
        <v>23</v>
      </c>
      <c r="D117" s="88">
        <v>4</v>
      </c>
      <c r="E117" s="3"/>
      <c r="F117" s="89">
        <f>D117*E117</f>
        <v>0</v>
      </c>
    </row>
    <row r="118" spans="1:6" s="65" customFormat="1" ht="41.4" x14ac:dyDescent="0.5">
      <c r="A118" s="21">
        <v>114</v>
      </c>
      <c r="B118" s="90" t="s">
        <v>126</v>
      </c>
      <c r="C118" s="91" t="s">
        <v>23</v>
      </c>
      <c r="D118" s="92">
        <v>4</v>
      </c>
      <c r="E118" s="4"/>
      <c r="F118" s="89">
        <f>D118*E118</f>
        <v>0</v>
      </c>
    </row>
    <row r="119" spans="1:6" s="65" customFormat="1" ht="18" x14ac:dyDescent="0.5">
      <c r="A119" s="16">
        <v>115</v>
      </c>
      <c r="B119" s="63" t="s">
        <v>127</v>
      </c>
      <c r="C119" s="93" t="s">
        <v>73</v>
      </c>
      <c r="D119" s="94"/>
      <c r="E119" s="151"/>
      <c r="F119" s="79">
        <f>SUM(F118:F118)</f>
        <v>0</v>
      </c>
    </row>
    <row r="120" spans="1:6" s="65" customFormat="1" ht="18" x14ac:dyDescent="0.5">
      <c r="A120" s="16">
        <v>116</v>
      </c>
      <c r="B120" s="95" t="s">
        <v>128</v>
      </c>
      <c r="C120" s="96" t="s">
        <v>73</v>
      </c>
      <c r="D120" s="97" t="s">
        <v>73</v>
      </c>
      <c r="E120" s="157"/>
      <c r="F120" s="99">
        <f>F119</f>
        <v>0</v>
      </c>
    </row>
    <row r="121" spans="1:6" s="65" customFormat="1" ht="18" x14ac:dyDescent="0.5">
      <c r="A121" s="21">
        <v>117</v>
      </c>
      <c r="B121" s="66" t="s">
        <v>74</v>
      </c>
      <c r="C121" s="76"/>
      <c r="D121" s="77"/>
      <c r="E121" s="155"/>
      <c r="F121" s="51">
        <f>F120*0.18</f>
        <v>0</v>
      </c>
    </row>
    <row r="122" spans="1:6" s="65" customFormat="1" ht="19.2" x14ac:dyDescent="0.5">
      <c r="A122" s="16">
        <v>118</v>
      </c>
      <c r="B122" s="52" t="s">
        <v>129</v>
      </c>
      <c r="C122" s="49"/>
      <c r="D122" s="53"/>
      <c r="E122" s="146"/>
      <c r="F122" s="78">
        <f>F121+F120</f>
        <v>0</v>
      </c>
    </row>
    <row r="123" spans="1:6" ht="18" x14ac:dyDescent="0.5">
      <c r="A123" s="16">
        <v>119</v>
      </c>
      <c r="B123" s="8" t="s">
        <v>130</v>
      </c>
      <c r="C123" s="58"/>
      <c r="D123" s="59"/>
      <c r="E123" s="149"/>
      <c r="F123" s="58"/>
    </row>
    <row r="124" spans="1:6" ht="18" x14ac:dyDescent="0.5">
      <c r="A124" s="21">
        <v>120</v>
      </c>
      <c r="B124" s="60" t="s">
        <v>2</v>
      </c>
      <c r="C124" s="61" t="s">
        <v>3</v>
      </c>
      <c r="D124" s="62" t="s">
        <v>4</v>
      </c>
      <c r="E124" s="150"/>
      <c r="F124" s="61" t="s">
        <v>6</v>
      </c>
    </row>
    <row r="125" spans="1:6" s="65" customFormat="1" ht="18" x14ac:dyDescent="0.5">
      <c r="A125" s="16">
        <v>121</v>
      </c>
      <c r="B125" s="63" t="s">
        <v>104</v>
      </c>
      <c r="C125" s="64" t="s">
        <v>73</v>
      </c>
      <c r="D125" s="64" t="s">
        <v>73</v>
      </c>
      <c r="E125" s="151"/>
      <c r="F125" s="64" t="s">
        <v>73</v>
      </c>
    </row>
    <row r="126" spans="1:6" s="65" customFormat="1" ht="18" x14ac:dyDescent="0.5">
      <c r="A126" s="16">
        <v>122</v>
      </c>
      <c r="B126" s="70" t="s">
        <v>131</v>
      </c>
      <c r="C126" s="30" t="s">
        <v>16</v>
      </c>
      <c r="D126" s="30">
        <v>1</v>
      </c>
      <c r="E126" s="142"/>
      <c r="F126" s="31">
        <f>E126*D126</f>
        <v>0</v>
      </c>
    </row>
    <row r="127" spans="1:6" s="65" customFormat="1" ht="18" x14ac:dyDescent="0.5">
      <c r="A127" s="21">
        <v>123</v>
      </c>
      <c r="B127" s="70" t="s">
        <v>132</v>
      </c>
      <c r="C127" s="30" t="s">
        <v>16</v>
      </c>
      <c r="D127" s="30">
        <v>1</v>
      </c>
      <c r="E127" s="142"/>
      <c r="F127" s="31">
        <f>E127*D127</f>
        <v>0</v>
      </c>
    </row>
    <row r="128" spans="1:6" s="65" customFormat="1" ht="18" x14ac:dyDescent="0.5">
      <c r="A128" s="16">
        <v>124</v>
      </c>
      <c r="B128" s="63" t="s">
        <v>133</v>
      </c>
      <c r="C128" s="64" t="s">
        <v>73</v>
      </c>
      <c r="D128" s="64" t="s">
        <v>73</v>
      </c>
      <c r="E128" s="151"/>
      <c r="F128" s="79">
        <f>SUM(F126:F127)</f>
        <v>0</v>
      </c>
    </row>
    <row r="129" spans="1:6" s="65" customFormat="1" ht="18" x14ac:dyDescent="0.5">
      <c r="A129" s="16">
        <v>125</v>
      </c>
      <c r="B129" s="63" t="s">
        <v>134</v>
      </c>
      <c r="C129" s="64" t="s">
        <v>73</v>
      </c>
      <c r="D129" s="64" t="s">
        <v>73</v>
      </c>
      <c r="E129" s="151"/>
      <c r="F129" s="30" t="s">
        <v>73</v>
      </c>
    </row>
    <row r="130" spans="1:6" s="65" customFormat="1" ht="19.8" x14ac:dyDescent="0.5">
      <c r="A130" s="21">
        <v>126</v>
      </c>
      <c r="B130" s="70" t="s">
        <v>135</v>
      </c>
      <c r="C130" s="30" t="s">
        <v>136</v>
      </c>
      <c r="D130" s="30">
        <v>0.73333333333333339</v>
      </c>
      <c r="E130" s="142"/>
      <c r="F130" s="31">
        <f t="shared" ref="F130:F136" si="6">E130*D130</f>
        <v>0</v>
      </c>
    </row>
    <row r="131" spans="1:6" s="65" customFormat="1" ht="19.8" x14ac:dyDescent="0.5">
      <c r="A131" s="16">
        <v>127</v>
      </c>
      <c r="B131" s="70" t="s">
        <v>137</v>
      </c>
      <c r="C131" s="30" t="s">
        <v>136</v>
      </c>
      <c r="D131" s="30">
        <v>2.8800000000000003</v>
      </c>
      <c r="E131" s="142"/>
      <c r="F131" s="31">
        <f t="shared" si="6"/>
        <v>0</v>
      </c>
    </row>
    <row r="132" spans="1:6" s="65" customFormat="1" ht="36" x14ac:dyDescent="0.5">
      <c r="A132" s="16">
        <v>128</v>
      </c>
      <c r="B132" s="70" t="s">
        <v>138</v>
      </c>
      <c r="C132" s="30" t="s">
        <v>139</v>
      </c>
      <c r="D132" s="30">
        <v>9.6</v>
      </c>
      <c r="E132" s="142"/>
      <c r="F132" s="31">
        <f t="shared" si="6"/>
        <v>0</v>
      </c>
    </row>
    <row r="133" spans="1:6" s="65" customFormat="1" ht="19.8" x14ac:dyDescent="0.5">
      <c r="A133" s="21">
        <v>129</v>
      </c>
      <c r="B133" s="70" t="s">
        <v>140</v>
      </c>
      <c r="C133" s="30" t="s">
        <v>136</v>
      </c>
      <c r="D133" s="30">
        <v>0.77333333333333332</v>
      </c>
      <c r="E133" s="142"/>
      <c r="F133" s="31">
        <f t="shared" si="6"/>
        <v>0</v>
      </c>
    </row>
    <row r="134" spans="1:6" s="65" customFormat="1" ht="19.8" x14ac:dyDescent="0.5">
      <c r="A134" s="16">
        <v>130</v>
      </c>
      <c r="B134" s="70" t="s">
        <v>141</v>
      </c>
      <c r="C134" s="30" t="s">
        <v>139</v>
      </c>
      <c r="D134" s="30">
        <v>2.6666666666666665</v>
      </c>
      <c r="E134" s="142"/>
      <c r="F134" s="31">
        <f t="shared" si="6"/>
        <v>0</v>
      </c>
    </row>
    <row r="135" spans="1:6" s="65" customFormat="1" ht="36" x14ac:dyDescent="0.5">
      <c r="A135" s="16">
        <v>131</v>
      </c>
      <c r="B135" s="70" t="s">
        <v>142</v>
      </c>
      <c r="C135" s="30" t="s">
        <v>136</v>
      </c>
      <c r="D135" s="30">
        <v>1.4133333333333333</v>
      </c>
      <c r="E135" s="142"/>
      <c r="F135" s="31">
        <f t="shared" si="6"/>
        <v>0</v>
      </c>
    </row>
    <row r="136" spans="1:6" s="65" customFormat="1" ht="19.8" x14ac:dyDescent="0.5">
      <c r="A136" s="21">
        <v>132</v>
      </c>
      <c r="B136" s="70" t="s">
        <v>143</v>
      </c>
      <c r="C136" s="30" t="s">
        <v>136</v>
      </c>
      <c r="D136" s="30">
        <v>0.17333333333333334</v>
      </c>
      <c r="E136" s="142"/>
      <c r="F136" s="31">
        <f t="shared" si="6"/>
        <v>0</v>
      </c>
    </row>
    <row r="137" spans="1:6" s="65" customFormat="1" ht="18" x14ac:dyDescent="0.5">
      <c r="A137" s="16">
        <v>133</v>
      </c>
      <c r="B137" s="63" t="s">
        <v>144</v>
      </c>
      <c r="C137" s="64" t="s">
        <v>73</v>
      </c>
      <c r="D137" s="64" t="s">
        <v>73</v>
      </c>
      <c r="E137" s="151"/>
      <c r="F137" s="79">
        <f>SUM(F130:F136)</f>
        <v>0</v>
      </c>
    </row>
    <row r="138" spans="1:6" s="65" customFormat="1" ht="18" x14ac:dyDescent="0.5">
      <c r="A138" s="16">
        <v>134</v>
      </c>
      <c r="B138" s="63" t="s">
        <v>145</v>
      </c>
      <c r="C138" s="64" t="s">
        <v>73</v>
      </c>
      <c r="D138" s="64"/>
      <c r="E138" s="151"/>
      <c r="F138" s="30" t="s">
        <v>73</v>
      </c>
    </row>
    <row r="139" spans="1:6" s="65" customFormat="1" ht="36" x14ac:dyDescent="0.5">
      <c r="A139" s="21">
        <v>135</v>
      </c>
      <c r="B139" s="70" t="s">
        <v>146</v>
      </c>
      <c r="C139" s="30" t="s">
        <v>139</v>
      </c>
      <c r="D139" s="30">
        <f>1.5*12.4</f>
        <v>18.600000000000001</v>
      </c>
      <c r="E139" s="142"/>
      <c r="F139" s="31">
        <f>E139*D139</f>
        <v>0</v>
      </c>
    </row>
    <row r="140" spans="1:6" s="65" customFormat="1" ht="19.8" x14ac:dyDescent="0.5">
      <c r="A140" s="16">
        <v>136</v>
      </c>
      <c r="B140" s="70" t="s">
        <v>147</v>
      </c>
      <c r="C140" s="30" t="s">
        <v>139</v>
      </c>
      <c r="D140" s="30">
        <f>1.5*12.4</f>
        <v>18.600000000000001</v>
      </c>
      <c r="E140" s="142"/>
      <c r="F140" s="31">
        <f>E140*D140</f>
        <v>0</v>
      </c>
    </row>
    <row r="141" spans="1:6" s="65" customFormat="1" ht="18" x14ac:dyDescent="0.5">
      <c r="A141" s="16">
        <v>137</v>
      </c>
      <c r="B141" s="63" t="s">
        <v>148</v>
      </c>
      <c r="C141" s="64" t="s">
        <v>73</v>
      </c>
      <c r="D141" s="64" t="s">
        <v>73</v>
      </c>
      <c r="E141" s="151"/>
      <c r="F141" s="79">
        <f>SUM(F139:F140)</f>
        <v>0</v>
      </c>
    </row>
    <row r="142" spans="1:6" s="65" customFormat="1" ht="18" x14ac:dyDescent="0.5">
      <c r="A142" s="21">
        <v>138</v>
      </c>
      <c r="B142" s="63" t="s">
        <v>107</v>
      </c>
      <c r="C142" s="64" t="s">
        <v>73</v>
      </c>
      <c r="D142" s="64" t="s">
        <v>73</v>
      </c>
      <c r="E142" s="151"/>
      <c r="F142" s="30" t="s">
        <v>73</v>
      </c>
    </row>
    <row r="143" spans="1:6" s="65" customFormat="1" ht="18" x14ac:dyDescent="0.5">
      <c r="A143" s="16">
        <v>139</v>
      </c>
      <c r="B143" s="70" t="s">
        <v>149</v>
      </c>
      <c r="C143" s="30" t="s">
        <v>21</v>
      </c>
      <c r="D143" s="30">
        <v>1</v>
      </c>
      <c r="E143" s="142"/>
      <c r="F143" s="31">
        <f t="shared" ref="F143:F152" si="7">E143*D143</f>
        <v>0</v>
      </c>
    </row>
    <row r="144" spans="1:6" s="65" customFormat="1" ht="18" x14ac:dyDescent="0.5">
      <c r="A144" s="16">
        <v>140</v>
      </c>
      <c r="B144" s="70" t="s">
        <v>150</v>
      </c>
      <c r="C144" s="30" t="s">
        <v>94</v>
      </c>
      <c r="D144" s="30">
        <v>20</v>
      </c>
      <c r="E144" s="142"/>
      <c r="F144" s="31">
        <f t="shared" si="7"/>
        <v>0</v>
      </c>
    </row>
    <row r="145" spans="1:6" s="65" customFormat="1" ht="18" x14ac:dyDescent="0.5">
      <c r="A145" s="21">
        <v>141</v>
      </c>
      <c r="B145" s="70" t="s">
        <v>151</v>
      </c>
      <c r="C145" s="30" t="s">
        <v>16</v>
      </c>
      <c r="D145" s="30">
        <v>1</v>
      </c>
      <c r="E145" s="142"/>
      <c r="F145" s="31">
        <f t="shared" si="7"/>
        <v>0</v>
      </c>
    </row>
    <row r="146" spans="1:6" s="65" customFormat="1" ht="36" x14ac:dyDescent="0.5">
      <c r="A146" s="16">
        <v>142</v>
      </c>
      <c r="B146" s="70" t="s">
        <v>152</v>
      </c>
      <c r="C146" s="30" t="s">
        <v>92</v>
      </c>
      <c r="D146" s="30">
        <v>4</v>
      </c>
      <c r="E146" s="142"/>
      <c r="F146" s="31">
        <f t="shared" si="7"/>
        <v>0</v>
      </c>
    </row>
    <row r="147" spans="1:6" s="65" customFormat="1" ht="36" x14ac:dyDescent="0.5">
      <c r="A147" s="16">
        <v>143</v>
      </c>
      <c r="B147" s="70" t="s">
        <v>153</v>
      </c>
      <c r="C147" s="30" t="s">
        <v>92</v>
      </c>
      <c r="D147" s="30">
        <v>4</v>
      </c>
      <c r="E147" s="142"/>
      <c r="F147" s="31">
        <f t="shared" si="7"/>
        <v>0</v>
      </c>
    </row>
    <row r="148" spans="1:6" s="65" customFormat="1" ht="36" x14ac:dyDescent="0.5">
      <c r="A148" s="21">
        <v>144</v>
      </c>
      <c r="B148" s="70" t="s">
        <v>154</v>
      </c>
      <c r="C148" s="30" t="s">
        <v>92</v>
      </c>
      <c r="D148" s="30">
        <v>5</v>
      </c>
      <c r="E148" s="142"/>
      <c r="F148" s="31">
        <f t="shared" si="7"/>
        <v>0</v>
      </c>
    </row>
    <row r="149" spans="1:6" s="65" customFormat="1" ht="36" x14ac:dyDescent="0.5">
      <c r="A149" s="16">
        <v>145</v>
      </c>
      <c r="B149" s="70" t="s">
        <v>155</v>
      </c>
      <c r="C149" s="30" t="s">
        <v>92</v>
      </c>
      <c r="D149" s="30">
        <v>4</v>
      </c>
      <c r="E149" s="142"/>
      <c r="F149" s="31">
        <f t="shared" si="7"/>
        <v>0</v>
      </c>
    </row>
    <row r="150" spans="1:6" s="65" customFormat="1" ht="36" x14ac:dyDescent="0.5">
      <c r="A150" s="16">
        <v>146</v>
      </c>
      <c r="B150" s="70" t="s">
        <v>156</v>
      </c>
      <c r="C150" s="30" t="s">
        <v>16</v>
      </c>
      <c r="D150" s="30">
        <v>1</v>
      </c>
      <c r="E150" s="142"/>
      <c r="F150" s="31">
        <f t="shared" si="7"/>
        <v>0</v>
      </c>
    </row>
    <row r="151" spans="1:6" s="65" customFormat="1" ht="18" x14ac:dyDescent="0.5">
      <c r="A151" s="21">
        <v>147</v>
      </c>
      <c r="B151" s="70" t="s">
        <v>157</v>
      </c>
      <c r="C151" s="30" t="s">
        <v>92</v>
      </c>
      <c r="D151" s="30">
        <v>4</v>
      </c>
      <c r="E151" s="142"/>
      <c r="F151" s="31">
        <f t="shared" si="7"/>
        <v>0</v>
      </c>
    </row>
    <row r="152" spans="1:6" s="65" customFormat="1" ht="18" x14ac:dyDescent="0.5">
      <c r="A152" s="16">
        <v>148</v>
      </c>
      <c r="B152" s="70" t="s">
        <v>158</v>
      </c>
      <c r="C152" s="30" t="s">
        <v>16</v>
      </c>
      <c r="D152" s="30">
        <v>1</v>
      </c>
      <c r="E152" s="142"/>
      <c r="F152" s="31">
        <f t="shared" si="7"/>
        <v>0</v>
      </c>
    </row>
    <row r="153" spans="1:6" s="65" customFormat="1" ht="18" x14ac:dyDescent="0.5">
      <c r="A153" s="16">
        <v>149</v>
      </c>
      <c r="B153" s="63" t="s">
        <v>159</v>
      </c>
      <c r="C153" s="64" t="s">
        <v>73</v>
      </c>
      <c r="D153" s="64" t="s">
        <v>73</v>
      </c>
      <c r="E153" s="151"/>
      <c r="F153" s="79">
        <f>SUM(F143:F152)</f>
        <v>0</v>
      </c>
    </row>
    <row r="154" spans="1:6" s="65" customFormat="1" ht="18" x14ac:dyDescent="0.5">
      <c r="A154" s="21">
        <v>150</v>
      </c>
      <c r="B154" s="100"/>
      <c r="C154" s="101"/>
      <c r="D154" s="101"/>
      <c r="E154" s="158"/>
      <c r="F154" s="101"/>
    </row>
    <row r="155" spans="1:6" s="65" customFormat="1" ht="18" x14ac:dyDescent="0.5">
      <c r="A155" s="16">
        <v>151</v>
      </c>
      <c r="B155" s="102" t="s">
        <v>160</v>
      </c>
      <c r="C155" s="98" t="s">
        <v>73</v>
      </c>
      <c r="D155" s="98" t="s">
        <v>73</v>
      </c>
      <c r="E155" s="157"/>
      <c r="F155" s="98" t="s">
        <v>73</v>
      </c>
    </row>
    <row r="156" spans="1:6" s="65" customFormat="1" ht="18" x14ac:dyDescent="0.5">
      <c r="A156" s="16">
        <v>152</v>
      </c>
      <c r="B156" s="70" t="s">
        <v>161</v>
      </c>
      <c r="C156" s="30" t="s">
        <v>27</v>
      </c>
      <c r="D156" s="30">
        <v>1</v>
      </c>
      <c r="E156" s="142"/>
      <c r="F156" s="31">
        <f>E156*D156</f>
        <v>0</v>
      </c>
    </row>
    <row r="157" spans="1:6" s="65" customFormat="1" ht="18" x14ac:dyDescent="0.5">
      <c r="A157" s="21">
        <v>153</v>
      </c>
      <c r="B157" s="70" t="s">
        <v>162</v>
      </c>
      <c r="C157" s="30" t="s">
        <v>27</v>
      </c>
      <c r="D157" s="30">
        <v>1</v>
      </c>
      <c r="E157" s="142"/>
      <c r="F157" s="31">
        <f>E157*D157</f>
        <v>0</v>
      </c>
    </row>
    <row r="158" spans="1:6" s="65" customFormat="1" ht="18" x14ac:dyDescent="0.5">
      <c r="A158" s="16">
        <v>154</v>
      </c>
      <c r="B158" s="70" t="s">
        <v>163</v>
      </c>
      <c r="C158" s="30" t="s">
        <v>27</v>
      </c>
      <c r="D158" s="30">
        <v>0.9</v>
      </c>
      <c r="E158" s="142"/>
      <c r="F158" s="31">
        <f>E158*D158</f>
        <v>0</v>
      </c>
    </row>
    <row r="159" spans="1:6" s="65" customFormat="1" ht="18" x14ac:dyDescent="0.5">
      <c r="A159" s="16">
        <v>155</v>
      </c>
      <c r="B159" s="70" t="s">
        <v>164</v>
      </c>
      <c r="C159" s="30" t="s">
        <v>27</v>
      </c>
      <c r="D159" s="30">
        <v>0.2</v>
      </c>
      <c r="E159" s="142"/>
      <c r="F159" s="31">
        <f>E159*D159</f>
        <v>0</v>
      </c>
    </row>
    <row r="160" spans="1:6" s="65" customFormat="1" ht="18" x14ac:dyDescent="0.5">
      <c r="A160" s="21">
        <v>156</v>
      </c>
      <c r="B160" s="70" t="s">
        <v>165</v>
      </c>
      <c r="C160" s="30" t="s">
        <v>21</v>
      </c>
      <c r="D160" s="30">
        <v>1</v>
      </c>
      <c r="E160" s="142"/>
      <c r="F160" s="31">
        <f>E160*D160</f>
        <v>0</v>
      </c>
    </row>
    <row r="161" spans="1:6" s="65" customFormat="1" ht="18" x14ac:dyDescent="0.5">
      <c r="A161" s="16">
        <v>157</v>
      </c>
      <c r="B161" s="63" t="s">
        <v>166</v>
      </c>
      <c r="C161" s="64" t="s">
        <v>73</v>
      </c>
      <c r="D161" s="64" t="s">
        <v>73</v>
      </c>
      <c r="E161" s="151"/>
      <c r="F161" s="79">
        <f>SUM(F156:F160)</f>
        <v>0</v>
      </c>
    </row>
    <row r="162" spans="1:6" s="65" customFormat="1" ht="18" x14ac:dyDescent="0.5">
      <c r="A162" s="16">
        <v>158</v>
      </c>
      <c r="B162" s="63" t="s">
        <v>167</v>
      </c>
      <c r="C162" s="64" t="s">
        <v>73</v>
      </c>
      <c r="D162" s="64" t="s">
        <v>73</v>
      </c>
      <c r="E162" s="151"/>
      <c r="F162" s="79">
        <f>F161+F153+F141+F137+F128</f>
        <v>0</v>
      </c>
    </row>
    <row r="163" spans="1:6" s="65" customFormat="1" ht="19.2" x14ac:dyDescent="0.5">
      <c r="A163" s="21">
        <v>159</v>
      </c>
      <c r="B163" s="80" t="s">
        <v>168</v>
      </c>
      <c r="C163" s="55"/>
      <c r="D163" s="56">
        <v>1</v>
      </c>
      <c r="E163" s="148"/>
      <c r="F163" s="82">
        <f>F162*D163</f>
        <v>0</v>
      </c>
    </row>
    <row r="164" spans="1:6" s="65" customFormat="1" ht="19.2" x14ac:dyDescent="0.5">
      <c r="A164" s="16">
        <v>160</v>
      </c>
      <c r="B164" s="80" t="s">
        <v>119</v>
      </c>
      <c r="C164" s="55"/>
      <c r="D164" s="56"/>
      <c r="E164" s="148"/>
      <c r="F164" s="82">
        <f>F163*18/100</f>
        <v>0</v>
      </c>
    </row>
    <row r="165" spans="1:6" s="65" customFormat="1" ht="19.2" x14ac:dyDescent="0.5">
      <c r="A165" s="16">
        <v>161</v>
      </c>
      <c r="B165" s="80" t="s">
        <v>168</v>
      </c>
      <c r="C165" s="55"/>
      <c r="D165" s="56"/>
      <c r="E165" s="148"/>
      <c r="F165" s="82">
        <f>F163+F164</f>
        <v>0</v>
      </c>
    </row>
    <row r="166" spans="1:6" ht="18" x14ac:dyDescent="0.5">
      <c r="A166" s="21">
        <v>162</v>
      </c>
      <c r="B166" s="8" t="s">
        <v>169</v>
      </c>
      <c r="C166" s="58"/>
      <c r="D166" s="59"/>
      <c r="E166" s="149"/>
      <c r="F166" s="58"/>
    </row>
    <row r="167" spans="1:6" ht="18" x14ac:dyDescent="0.5">
      <c r="A167" s="16">
        <v>163</v>
      </c>
      <c r="B167" s="60" t="s">
        <v>2</v>
      </c>
      <c r="C167" s="61" t="s">
        <v>3</v>
      </c>
      <c r="D167" s="62" t="s">
        <v>4</v>
      </c>
      <c r="E167" s="150"/>
      <c r="F167" s="61" t="s">
        <v>6</v>
      </c>
    </row>
    <row r="168" spans="1:6" s="65" customFormat="1" ht="18" x14ac:dyDescent="0.5">
      <c r="A168" s="16">
        <v>164</v>
      </c>
      <c r="B168" s="103" t="s">
        <v>7</v>
      </c>
      <c r="C168" s="13"/>
      <c r="D168" s="13"/>
      <c r="E168" s="159"/>
      <c r="F168" s="14"/>
    </row>
    <row r="169" spans="1:6" s="65" customFormat="1" ht="18" x14ac:dyDescent="0.5">
      <c r="A169" s="21">
        <v>165</v>
      </c>
      <c r="B169" s="104" t="s">
        <v>8</v>
      </c>
      <c r="C169" s="18" t="s">
        <v>9</v>
      </c>
      <c r="D169" s="19">
        <f>D182/1000</f>
        <v>1.859807904</v>
      </c>
      <c r="E169" s="137"/>
      <c r="F169" s="20">
        <f>E169*D169</f>
        <v>0</v>
      </c>
    </row>
    <row r="170" spans="1:6" s="65" customFormat="1" ht="18" x14ac:dyDescent="0.5">
      <c r="A170" s="16">
        <v>166</v>
      </c>
      <c r="B170" s="104" t="s">
        <v>10</v>
      </c>
      <c r="C170" s="18" t="s">
        <v>9</v>
      </c>
      <c r="D170" s="19">
        <f>$D$182/1000</f>
        <v>1.859807904</v>
      </c>
      <c r="E170" s="137"/>
      <c r="F170" s="20">
        <f>E170*D170</f>
        <v>0</v>
      </c>
    </row>
    <row r="171" spans="1:6" s="65" customFormat="1" ht="18" x14ac:dyDescent="0.5">
      <c r="A171" s="16">
        <v>167</v>
      </c>
      <c r="B171" s="105" t="s">
        <v>11</v>
      </c>
      <c r="C171" s="22" t="s">
        <v>73</v>
      </c>
      <c r="D171" s="22" t="s">
        <v>73</v>
      </c>
      <c r="E171" s="139"/>
      <c r="F171" s="23">
        <f>SUM(F169:F170)</f>
        <v>0</v>
      </c>
    </row>
    <row r="172" spans="1:6" s="65" customFormat="1" ht="18" x14ac:dyDescent="0.5">
      <c r="A172" s="21">
        <v>168</v>
      </c>
      <c r="B172" s="39" t="s">
        <v>12</v>
      </c>
      <c r="C172" s="40"/>
      <c r="D172" s="41"/>
      <c r="E172" s="1"/>
      <c r="F172" s="106"/>
    </row>
    <row r="173" spans="1:6" s="65" customFormat="1" ht="18" x14ac:dyDescent="0.5">
      <c r="A173" s="16">
        <v>169</v>
      </c>
      <c r="B173" s="107" t="s">
        <v>170</v>
      </c>
      <c r="C173" s="40" t="s">
        <v>27</v>
      </c>
      <c r="D173" s="41">
        <f>1.1*0.5*D182</f>
        <v>1022.8943472000001</v>
      </c>
      <c r="E173" s="1"/>
      <c r="F173" s="106">
        <f>D173*E173</f>
        <v>0</v>
      </c>
    </row>
    <row r="174" spans="1:6" s="65" customFormat="1" ht="18" x14ac:dyDescent="0.5">
      <c r="A174" s="16">
        <v>170</v>
      </c>
      <c r="B174" s="107" t="s">
        <v>171</v>
      </c>
      <c r="C174" s="40" t="s">
        <v>39</v>
      </c>
      <c r="D174" s="41">
        <f>D182/100</f>
        <v>18.598079040000002</v>
      </c>
      <c r="E174" s="1"/>
      <c r="F174" s="106">
        <f>D174*E174</f>
        <v>0</v>
      </c>
    </row>
    <row r="175" spans="1:6" s="65" customFormat="1" ht="18" x14ac:dyDescent="0.5">
      <c r="A175" s="21">
        <v>171</v>
      </c>
      <c r="B175" s="108" t="s">
        <v>172</v>
      </c>
      <c r="C175" s="23"/>
      <c r="D175" s="23"/>
      <c r="E175" s="160"/>
      <c r="F175" s="23">
        <f>SUM(F173:F174)</f>
        <v>0</v>
      </c>
    </row>
    <row r="176" spans="1:6" s="65" customFormat="1" ht="18" x14ac:dyDescent="0.5">
      <c r="A176" s="16">
        <v>172</v>
      </c>
      <c r="B176" s="39" t="s">
        <v>173</v>
      </c>
      <c r="C176" s="40"/>
      <c r="D176" s="41"/>
      <c r="E176" s="1"/>
      <c r="F176" s="106"/>
    </row>
    <row r="177" spans="1:6" s="65" customFormat="1" ht="18" x14ac:dyDescent="0.5">
      <c r="A177" s="16">
        <v>173</v>
      </c>
      <c r="B177" s="107" t="s">
        <v>174</v>
      </c>
      <c r="C177" s="40" t="s">
        <v>59</v>
      </c>
      <c r="D177" s="41">
        <v>436.47251699999998</v>
      </c>
      <c r="E177" s="1"/>
      <c r="F177" s="106">
        <f t="shared" ref="F177:F183" si="8">D177*E177</f>
        <v>0</v>
      </c>
    </row>
    <row r="178" spans="1:6" s="65" customFormat="1" ht="18" x14ac:dyDescent="0.5">
      <c r="A178" s="21">
        <v>174</v>
      </c>
      <c r="B178" s="107" t="s">
        <v>175</v>
      </c>
      <c r="C178" s="40" t="s">
        <v>59</v>
      </c>
      <c r="D178" s="41">
        <v>1423.3353870000001</v>
      </c>
      <c r="E178" s="1"/>
      <c r="F178" s="106">
        <f t="shared" si="8"/>
        <v>0</v>
      </c>
    </row>
    <row r="179" spans="1:6" s="65" customFormat="1" ht="18" x14ac:dyDescent="0.5">
      <c r="A179" s="16">
        <v>175</v>
      </c>
      <c r="B179" s="107" t="s">
        <v>176</v>
      </c>
      <c r="C179" s="40" t="s">
        <v>59</v>
      </c>
      <c r="D179" s="41">
        <v>12</v>
      </c>
      <c r="E179" s="1"/>
      <c r="F179" s="106">
        <f t="shared" si="8"/>
        <v>0</v>
      </c>
    </row>
    <row r="180" spans="1:6" s="65" customFormat="1" ht="18" x14ac:dyDescent="0.5">
      <c r="A180" s="16">
        <v>176</v>
      </c>
      <c r="B180" s="107" t="s">
        <v>177</v>
      </c>
      <c r="C180" s="40" t="s">
        <v>59</v>
      </c>
      <c r="D180" s="41">
        <v>36</v>
      </c>
      <c r="E180" s="1"/>
      <c r="F180" s="106">
        <f t="shared" si="8"/>
        <v>0</v>
      </c>
    </row>
    <row r="181" spans="1:6" s="65" customFormat="1" ht="18" x14ac:dyDescent="0.5">
      <c r="A181" s="21">
        <v>177</v>
      </c>
      <c r="B181" s="107" t="s">
        <v>178</v>
      </c>
      <c r="C181" s="40" t="s">
        <v>27</v>
      </c>
      <c r="D181" s="41">
        <f>4*0.5*1</f>
        <v>2</v>
      </c>
      <c r="E181" s="1"/>
      <c r="F181" s="106">
        <f t="shared" si="8"/>
        <v>0</v>
      </c>
    </row>
    <row r="182" spans="1:6" s="65" customFormat="1" ht="18" x14ac:dyDescent="0.5">
      <c r="A182" s="16">
        <v>178</v>
      </c>
      <c r="B182" s="107" t="s">
        <v>179</v>
      </c>
      <c r="C182" s="40" t="s">
        <v>59</v>
      </c>
      <c r="D182" s="41">
        <f>SUM(D177:D178)</f>
        <v>1859.807904</v>
      </c>
      <c r="E182" s="1"/>
      <c r="F182" s="106">
        <f t="shared" si="8"/>
        <v>0</v>
      </c>
    </row>
    <row r="183" spans="1:6" s="65" customFormat="1" ht="18" x14ac:dyDescent="0.5">
      <c r="A183" s="16">
        <v>179</v>
      </c>
      <c r="B183" s="107" t="s">
        <v>180</v>
      </c>
      <c r="C183" s="40" t="s">
        <v>59</v>
      </c>
      <c r="D183" s="41">
        <f>D182</f>
        <v>1859.807904</v>
      </c>
      <c r="E183" s="1"/>
      <c r="F183" s="106">
        <f t="shared" si="8"/>
        <v>0</v>
      </c>
    </row>
    <row r="184" spans="1:6" s="65" customFormat="1" ht="18" x14ac:dyDescent="0.5">
      <c r="A184" s="21">
        <v>180</v>
      </c>
      <c r="B184" s="47" t="s">
        <v>172</v>
      </c>
      <c r="C184" s="33"/>
      <c r="D184" s="33"/>
      <c r="E184" s="143"/>
      <c r="F184" s="33">
        <f>SUM(F177:F183)</f>
        <v>0</v>
      </c>
    </row>
    <row r="185" spans="1:6" s="65" customFormat="1" ht="18" x14ac:dyDescent="0.5">
      <c r="A185" s="16">
        <v>181</v>
      </c>
      <c r="B185" s="47" t="s">
        <v>181</v>
      </c>
      <c r="C185" s="33"/>
      <c r="D185" s="33"/>
      <c r="E185" s="143"/>
      <c r="F185" s="33">
        <f>F184+F175</f>
        <v>0</v>
      </c>
    </row>
    <row r="186" spans="1:6" s="65" customFormat="1" ht="18" x14ac:dyDescent="0.5">
      <c r="A186" s="16">
        <v>182</v>
      </c>
      <c r="B186" s="39" t="s">
        <v>182</v>
      </c>
      <c r="C186" s="40"/>
      <c r="D186" s="41"/>
      <c r="E186" s="1"/>
      <c r="F186" s="42"/>
    </row>
    <row r="187" spans="1:6" s="65" customFormat="1" ht="18" x14ac:dyDescent="0.5">
      <c r="A187" s="21">
        <v>183</v>
      </c>
      <c r="B187" s="107" t="s">
        <v>183</v>
      </c>
      <c r="C187" s="40" t="s">
        <v>27</v>
      </c>
      <c r="D187" s="41">
        <v>20.824999999999999</v>
      </c>
      <c r="E187" s="1"/>
      <c r="F187" s="42">
        <f t="shared" ref="F187:F199" si="9">D187*E187</f>
        <v>0</v>
      </c>
    </row>
    <row r="188" spans="1:6" s="65" customFormat="1" ht="18" x14ac:dyDescent="0.5">
      <c r="A188" s="16">
        <v>184</v>
      </c>
      <c r="B188" s="107" t="s">
        <v>184</v>
      </c>
      <c r="C188" s="40" t="s">
        <v>27</v>
      </c>
      <c r="D188" s="41">
        <v>1.2</v>
      </c>
      <c r="E188" s="1"/>
      <c r="F188" s="42">
        <f t="shared" si="9"/>
        <v>0</v>
      </c>
    </row>
    <row r="189" spans="1:6" s="65" customFormat="1" ht="18" x14ac:dyDescent="0.5">
      <c r="A189" s="16">
        <v>185</v>
      </c>
      <c r="B189" s="107" t="s">
        <v>135</v>
      </c>
      <c r="C189" s="40" t="s">
        <v>27</v>
      </c>
      <c r="D189" s="41">
        <v>0.2</v>
      </c>
      <c r="E189" s="1"/>
      <c r="F189" s="42">
        <f t="shared" si="9"/>
        <v>0</v>
      </c>
    </row>
    <row r="190" spans="1:6" s="65" customFormat="1" ht="18" x14ac:dyDescent="0.5">
      <c r="A190" s="21">
        <v>186</v>
      </c>
      <c r="B190" s="107" t="s">
        <v>185</v>
      </c>
      <c r="C190" s="40" t="s">
        <v>27</v>
      </c>
      <c r="D190" s="41">
        <v>0.48599999999999999</v>
      </c>
      <c r="E190" s="1"/>
      <c r="F190" s="42">
        <f t="shared" si="9"/>
        <v>0</v>
      </c>
    </row>
    <row r="191" spans="1:6" s="65" customFormat="1" ht="18" x14ac:dyDescent="0.5">
      <c r="A191" s="16">
        <v>187</v>
      </c>
      <c r="B191" s="107" t="s">
        <v>186</v>
      </c>
      <c r="C191" s="40" t="s">
        <v>27</v>
      </c>
      <c r="D191" s="41">
        <v>0.34560000000000002</v>
      </c>
      <c r="E191" s="1"/>
      <c r="F191" s="42">
        <f t="shared" si="9"/>
        <v>0</v>
      </c>
    </row>
    <row r="192" spans="1:6" s="65" customFormat="1" ht="18" x14ac:dyDescent="0.5">
      <c r="A192" s="16">
        <v>188</v>
      </c>
      <c r="B192" s="107" t="s">
        <v>187</v>
      </c>
      <c r="C192" s="40" t="s">
        <v>27</v>
      </c>
      <c r="D192" s="41">
        <v>2.532</v>
      </c>
      <c r="E192" s="1"/>
      <c r="F192" s="42">
        <f t="shared" si="9"/>
        <v>0</v>
      </c>
    </row>
    <row r="193" spans="1:6" s="65" customFormat="1" ht="18" x14ac:dyDescent="0.5">
      <c r="A193" s="21">
        <v>189</v>
      </c>
      <c r="B193" s="107" t="s">
        <v>188</v>
      </c>
      <c r="C193" s="40" t="s">
        <v>34</v>
      </c>
      <c r="D193" s="41">
        <v>18.240000000000002</v>
      </c>
      <c r="E193" s="1"/>
      <c r="F193" s="42">
        <f t="shared" si="9"/>
        <v>0</v>
      </c>
    </row>
    <row r="194" spans="1:6" s="65" customFormat="1" ht="18" x14ac:dyDescent="0.5">
      <c r="A194" s="16">
        <v>190</v>
      </c>
      <c r="B194" s="107" t="s">
        <v>189</v>
      </c>
      <c r="C194" s="40" t="s">
        <v>34</v>
      </c>
      <c r="D194" s="41">
        <v>4.8383999999999991</v>
      </c>
      <c r="E194" s="1"/>
      <c r="F194" s="42">
        <f t="shared" si="9"/>
        <v>0</v>
      </c>
    </row>
    <row r="195" spans="1:6" s="65" customFormat="1" ht="18" x14ac:dyDescent="0.5">
      <c r="A195" s="16">
        <v>191</v>
      </c>
      <c r="B195" s="107" t="s">
        <v>190</v>
      </c>
      <c r="C195" s="40" t="s">
        <v>34</v>
      </c>
      <c r="D195" s="41">
        <v>2.5600000000000005</v>
      </c>
      <c r="E195" s="1"/>
      <c r="F195" s="42">
        <f t="shared" si="9"/>
        <v>0</v>
      </c>
    </row>
    <row r="196" spans="1:6" s="65" customFormat="1" ht="18" x14ac:dyDescent="0.5">
      <c r="A196" s="21">
        <v>192</v>
      </c>
      <c r="B196" s="107" t="s">
        <v>56</v>
      </c>
      <c r="C196" s="40" t="s">
        <v>57</v>
      </c>
      <c r="D196" s="41">
        <v>1</v>
      </c>
      <c r="E196" s="1"/>
      <c r="F196" s="42">
        <f t="shared" si="9"/>
        <v>0</v>
      </c>
    </row>
    <row r="197" spans="1:6" s="65" customFormat="1" ht="18" x14ac:dyDescent="0.5">
      <c r="A197" s="16">
        <v>193</v>
      </c>
      <c r="B197" s="107" t="s">
        <v>191</v>
      </c>
      <c r="C197" s="40" t="s">
        <v>57</v>
      </c>
      <c r="D197" s="41">
        <v>1</v>
      </c>
      <c r="E197" s="1"/>
      <c r="F197" s="42">
        <f t="shared" si="9"/>
        <v>0</v>
      </c>
    </row>
    <row r="198" spans="1:6" s="65" customFormat="1" ht="18" x14ac:dyDescent="0.5">
      <c r="A198" s="16">
        <v>194</v>
      </c>
      <c r="B198" s="107" t="s">
        <v>192</v>
      </c>
      <c r="C198" s="40" t="s">
        <v>193</v>
      </c>
      <c r="D198" s="41">
        <v>1</v>
      </c>
      <c r="E198" s="1"/>
      <c r="F198" s="42">
        <f t="shared" si="9"/>
        <v>0</v>
      </c>
    </row>
    <row r="199" spans="1:6" s="65" customFormat="1" ht="18" x14ac:dyDescent="0.5">
      <c r="A199" s="21">
        <v>195</v>
      </c>
      <c r="B199" s="107" t="s">
        <v>194</v>
      </c>
      <c r="C199" s="40" t="s">
        <v>16</v>
      </c>
      <c r="D199" s="41">
        <v>1</v>
      </c>
      <c r="E199" s="1"/>
      <c r="F199" s="42">
        <f t="shared" si="9"/>
        <v>0</v>
      </c>
    </row>
    <row r="200" spans="1:6" s="65" customFormat="1" ht="18" x14ac:dyDescent="0.5">
      <c r="A200" s="16">
        <v>196</v>
      </c>
      <c r="B200" s="47" t="s">
        <v>195</v>
      </c>
      <c r="C200" s="33"/>
      <c r="D200" s="33"/>
      <c r="E200" s="143"/>
      <c r="F200" s="33">
        <f>SUM(F187:F199)*1</f>
        <v>0</v>
      </c>
    </row>
    <row r="201" spans="1:6" s="65" customFormat="1" ht="18" x14ac:dyDescent="0.5">
      <c r="A201" s="16">
        <v>197</v>
      </c>
      <c r="B201" s="47" t="s">
        <v>196</v>
      </c>
      <c r="C201" s="33"/>
      <c r="D201" s="33"/>
      <c r="E201" s="143"/>
      <c r="F201" s="33">
        <f>F200</f>
        <v>0</v>
      </c>
    </row>
    <row r="202" spans="1:6" s="65" customFormat="1" ht="18" x14ac:dyDescent="0.5">
      <c r="A202" s="21">
        <v>198</v>
      </c>
      <c r="B202" s="39" t="s">
        <v>197</v>
      </c>
      <c r="C202" s="40"/>
      <c r="D202" s="41"/>
      <c r="E202" s="1"/>
      <c r="F202" s="42"/>
    </row>
    <row r="203" spans="1:6" s="65" customFormat="1" ht="18" x14ac:dyDescent="0.5">
      <c r="A203" s="16">
        <v>199</v>
      </c>
      <c r="B203" s="107" t="s">
        <v>198</v>
      </c>
      <c r="C203" s="40" t="s">
        <v>27</v>
      </c>
      <c r="D203" s="41">
        <v>39.203999999999994</v>
      </c>
      <c r="E203" s="1"/>
      <c r="F203" s="42">
        <f t="shared" ref="F203:F214" si="10">D203*E203</f>
        <v>0</v>
      </c>
    </row>
    <row r="204" spans="1:6" s="65" customFormat="1" ht="18" x14ac:dyDescent="0.5">
      <c r="A204" s="16">
        <v>200</v>
      </c>
      <c r="B204" s="107" t="s">
        <v>199</v>
      </c>
      <c r="C204" s="40" t="s">
        <v>27</v>
      </c>
      <c r="D204" s="41">
        <v>4.9831799999999991</v>
      </c>
      <c r="E204" s="1"/>
      <c r="F204" s="42">
        <f t="shared" si="10"/>
        <v>0</v>
      </c>
    </row>
    <row r="205" spans="1:6" s="65" customFormat="1" ht="18" x14ac:dyDescent="0.5">
      <c r="A205" s="21">
        <v>201</v>
      </c>
      <c r="B205" s="107" t="s">
        <v>135</v>
      </c>
      <c r="C205" s="40" t="s">
        <v>27</v>
      </c>
      <c r="D205" s="41">
        <v>0.83052999999999999</v>
      </c>
      <c r="E205" s="1"/>
      <c r="F205" s="42">
        <f t="shared" si="10"/>
        <v>0</v>
      </c>
    </row>
    <row r="206" spans="1:6" s="65" customFormat="1" ht="18" x14ac:dyDescent="0.5">
      <c r="A206" s="16">
        <v>202</v>
      </c>
      <c r="B206" s="107" t="s">
        <v>200</v>
      </c>
      <c r="C206" s="40" t="s">
        <v>27</v>
      </c>
      <c r="D206" s="41">
        <v>3.6612400000000012</v>
      </c>
      <c r="E206" s="1"/>
      <c r="F206" s="42">
        <f t="shared" si="10"/>
        <v>0</v>
      </c>
    </row>
    <row r="207" spans="1:6" s="65" customFormat="1" ht="18" x14ac:dyDescent="0.5">
      <c r="A207" s="16">
        <v>203</v>
      </c>
      <c r="B207" s="107" t="s">
        <v>201</v>
      </c>
      <c r="C207" s="40" t="s">
        <v>27</v>
      </c>
      <c r="D207" s="41">
        <v>2.9115200000000008</v>
      </c>
      <c r="E207" s="1"/>
      <c r="F207" s="42">
        <f t="shared" si="10"/>
        <v>0</v>
      </c>
    </row>
    <row r="208" spans="1:6" s="65" customFormat="1" ht="18" x14ac:dyDescent="0.5">
      <c r="A208" s="21">
        <v>204</v>
      </c>
      <c r="B208" s="107" t="s">
        <v>202</v>
      </c>
      <c r="C208" s="40" t="s">
        <v>27</v>
      </c>
      <c r="D208" s="41">
        <v>12.101559999999999</v>
      </c>
      <c r="E208" s="1"/>
      <c r="F208" s="42">
        <f t="shared" si="10"/>
        <v>0</v>
      </c>
    </row>
    <row r="209" spans="1:6" s="65" customFormat="1" ht="18" x14ac:dyDescent="0.5">
      <c r="A209" s="16">
        <v>205</v>
      </c>
      <c r="B209" s="107" t="s">
        <v>203</v>
      </c>
      <c r="C209" s="40" t="s">
        <v>34</v>
      </c>
      <c r="D209" s="41">
        <v>45.247400000000006</v>
      </c>
      <c r="E209" s="1"/>
      <c r="F209" s="42">
        <f t="shared" si="10"/>
        <v>0</v>
      </c>
    </row>
    <row r="210" spans="1:6" s="65" customFormat="1" ht="18" x14ac:dyDescent="0.5">
      <c r="A210" s="16">
        <v>206</v>
      </c>
      <c r="B210" s="107" t="s">
        <v>204</v>
      </c>
      <c r="C210" s="40" t="s">
        <v>34</v>
      </c>
      <c r="D210" s="41">
        <v>39.030200000000001</v>
      </c>
      <c r="E210" s="1"/>
      <c r="F210" s="42">
        <f t="shared" si="10"/>
        <v>0</v>
      </c>
    </row>
    <row r="211" spans="1:6" s="65" customFormat="1" ht="18" x14ac:dyDescent="0.5">
      <c r="A211" s="21">
        <v>207</v>
      </c>
      <c r="B211" s="107" t="s">
        <v>189</v>
      </c>
      <c r="C211" s="40" t="s">
        <v>34</v>
      </c>
      <c r="D211" s="41">
        <v>18.984999999999999</v>
      </c>
      <c r="E211" s="1"/>
      <c r="F211" s="42">
        <f t="shared" si="10"/>
        <v>0</v>
      </c>
    </row>
    <row r="212" spans="1:6" s="65" customFormat="1" ht="18" x14ac:dyDescent="0.5">
      <c r="A212" s="16">
        <v>208</v>
      </c>
      <c r="B212" s="107" t="s">
        <v>205</v>
      </c>
      <c r="C212" s="40" t="s">
        <v>34</v>
      </c>
      <c r="D212" s="41">
        <v>10.299199999999999</v>
      </c>
      <c r="E212" s="1"/>
      <c r="F212" s="42">
        <f t="shared" si="10"/>
        <v>0</v>
      </c>
    </row>
    <row r="213" spans="1:6" s="65" customFormat="1" ht="18" x14ac:dyDescent="0.5">
      <c r="A213" s="16">
        <v>209</v>
      </c>
      <c r="B213" s="107" t="s">
        <v>38</v>
      </c>
      <c r="C213" s="40" t="s">
        <v>57</v>
      </c>
      <c r="D213" s="41">
        <v>1</v>
      </c>
      <c r="E213" s="1"/>
      <c r="F213" s="42">
        <f t="shared" si="10"/>
        <v>0</v>
      </c>
    </row>
    <row r="214" spans="1:6" s="65" customFormat="1" ht="18" x14ac:dyDescent="0.5">
      <c r="A214" s="21">
        <v>210</v>
      </c>
      <c r="B214" s="107" t="s">
        <v>206</v>
      </c>
      <c r="C214" s="40" t="s">
        <v>57</v>
      </c>
      <c r="D214" s="41">
        <v>1</v>
      </c>
      <c r="E214" s="1"/>
      <c r="F214" s="42">
        <f t="shared" si="10"/>
        <v>0</v>
      </c>
    </row>
    <row r="215" spans="1:6" s="65" customFormat="1" ht="18" x14ac:dyDescent="0.5">
      <c r="A215" s="16">
        <v>211</v>
      </c>
      <c r="B215" s="39" t="s">
        <v>207</v>
      </c>
      <c r="C215" s="40"/>
      <c r="D215" s="41">
        <v>0</v>
      </c>
      <c r="E215" s="1"/>
      <c r="F215" s="42"/>
    </row>
    <row r="216" spans="1:6" s="65" customFormat="1" ht="18" x14ac:dyDescent="0.5">
      <c r="A216" s="16">
        <v>212</v>
      </c>
      <c r="B216" s="107" t="s">
        <v>198</v>
      </c>
      <c r="C216" s="40" t="s">
        <v>27</v>
      </c>
      <c r="D216" s="41">
        <v>14</v>
      </c>
      <c r="E216" s="1"/>
      <c r="F216" s="42">
        <f t="shared" ref="F216:F227" si="11">D216*E216</f>
        <v>0</v>
      </c>
    </row>
    <row r="217" spans="1:6" s="65" customFormat="1" ht="18" x14ac:dyDescent="0.5">
      <c r="A217" s="21">
        <v>213</v>
      </c>
      <c r="B217" s="107" t="s">
        <v>208</v>
      </c>
      <c r="C217" s="40" t="s">
        <v>27</v>
      </c>
      <c r="D217" s="41">
        <v>0.98999999999999988</v>
      </c>
      <c r="E217" s="1"/>
      <c r="F217" s="42">
        <f t="shared" si="11"/>
        <v>0</v>
      </c>
    </row>
    <row r="218" spans="1:6" s="65" customFormat="1" ht="18" x14ac:dyDescent="0.5">
      <c r="A218" s="16">
        <v>214</v>
      </c>
      <c r="B218" s="107" t="s">
        <v>135</v>
      </c>
      <c r="C218" s="40" t="s">
        <v>27</v>
      </c>
      <c r="D218" s="41">
        <v>0.24749999999999997</v>
      </c>
      <c r="E218" s="1"/>
      <c r="F218" s="42">
        <f t="shared" si="11"/>
        <v>0</v>
      </c>
    </row>
    <row r="219" spans="1:6" s="65" customFormat="1" ht="18" x14ac:dyDescent="0.5">
      <c r="A219" s="16">
        <v>215</v>
      </c>
      <c r="B219" s="107" t="s">
        <v>51</v>
      </c>
      <c r="C219" s="40" t="s">
        <v>27</v>
      </c>
      <c r="D219" s="41">
        <v>1.155</v>
      </c>
      <c r="E219" s="1"/>
      <c r="F219" s="42">
        <f t="shared" si="11"/>
        <v>0</v>
      </c>
    </row>
    <row r="220" spans="1:6" s="65" customFormat="1" ht="18" x14ac:dyDescent="0.5">
      <c r="A220" s="21">
        <v>216</v>
      </c>
      <c r="B220" s="107" t="s">
        <v>52</v>
      </c>
      <c r="C220" s="40" t="s">
        <v>27</v>
      </c>
      <c r="D220" s="41">
        <v>2.9339999999999997</v>
      </c>
      <c r="E220" s="1"/>
      <c r="F220" s="42">
        <f t="shared" si="11"/>
        <v>0</v>
      </c>
    </row>
    <row r="221" spans="1:6" s="65" customFormat="1" ht="18" x14ac:dyDescent="0.5">
      <c r="A221" s="16">
        <v>217</v>
      </c>
      <c r="B221" s="107" t="s">
        <v>209</v>
      </c>
      <c r="C221" s="40" t="s">
        <v>34</v>
      </c>
      <c r="D221" s="41">
        <v>14.979999999999999</v>
      </c>
      <c r="E221" s="1"/>
      <c r="F221" s="42">
        <f t="shared" si="11"/>
        <v>0</v>
      </c>
    </row>
    <row r="222" spans="1:6" s="65" customFormat="1" ht="18" x14ac:dyDescent="0.5">
      <c r="A222" s="16">
        <v>218</v>
      </c>
      <c r="B222" s="107" t="s">
        <v>210</v>
      </c>
      <c r="C222" s="40" t="s">
        <v>34</v>
      </c>
      <c r="D222" s="41">
        <v>5.5600000000000005</v>
      </c>
      <c r="E222" s="1"/>
      <c r="F222" s="42">
        <f t="shared" si="11"/>
        <v>0</v>
      </c>
    </row>
    <row r="223" spans="1:6" s="65" customFormat="1" ht="18" x14ac:dyDescent="0.5">
      <c r="A223" s="21">
        <v>219</v>
      </c>
      <c r="B223" s="107" t="s">
        <v>190</v>
      </c>
      <c r="C223" s="40" t="s">
        <v>34</v>
      </c>
      <c r="D223" s="41">
        <v>3.9119999999999999</v>
      </c>
      <c r="E223" s="1"/>
      <c r="F223" s="42">
        <f t="shared" si="11"/>
        <v>0</v>
      </c>
    </row>
    <row r="224" spans="1:6" s="65" customFormat="1" ht="18" x14ac:dyDescent="0.5">
      <c r="A224" s="16">
        <v>220</v>
      </c>
      <c r="B224" s="107" t="s">
        <v>56</v>
      </c>
      <c r="C224" s="40" t="s">
        <v>57</v>
      </c>
      <c r="D224" s="41">
        <v>1</v>
      </c>
      <c r="E224" s="1"/>
      <c r="F224" s="42">
        <f t="shared" si="11"/>
        <v>0</v>
      </c>
    </row>
    <row r="225" spans="1:6" s="65" customFormat="1" ht="18" x14ac:dyDescent="0.5">
      <c r="A225" s="16">
        <v>221</v>
      </c>
      <c r="B225" s="107" t="s">
        <v>191</v>
      </c>
      <c r="C225" s="40" t="s">
        <v>59</v>
      </c>
      <c r="D225" s="41">
        <v>1</v>
      </c>
      <c r="E225" s="1"/>
      <c r="F225" s="42">
        <f t="shared" si="11"/>
        <v>0</v>
      </c>
    </row>
    <row r="226" spans="1:6" s="65" customFormat="1" ht="18" x14ac:dyDescent="0.5">
      <c r="A226" s="21">
        <v>222</v>
      </c>
      <c r="B226" s="107" t="s">
        <v>211</v>
      </c>
      <c r="C226" s="40" t="s">
        <v>16</v>
      </c>
      <c r="D226" s="41">
        <v>1</v>
      </c>
      <c r="E226" s="1"/>
      <c r="F226" s="42">
        <f t="shared" si="11"/>
        <v>0</v>
      </c>
    </row>
    <row r="227" spans="1:6" s="65" customFormat="1" ht="18" x14ac:dyDescent="0.5">
      <c r="A227" s="16">
        <v>223</v>
      </c>
      <c r="B227" s="107" t="s">
        <v>212</v>
      </c>
      <c r="C227" s="40" t="s">
        <v>16</v>
      </c>
      <c r="D227" s="41">
        <v>1</v>
      </c>
      <c r="E227" s="1"/>
      <c r="F227" s="42">
        <f t="shared" si="11"/>
        <v>0</v>
      </c>
    </row>
    <row r="228" spans="1:6" s="65" customFormat="1" ht="18" x14ac:dyDescent="0.5">
      <c r="A228" s="16">
        <v>224</v>
      </c>
      <c r="B228" s="39" t="s">
        <v>213</v>
      </c>
      <c r="C228" s="40"/>
      <c r="D228" s="41">
        <v>0</v>
      </c>
      <c r="E228" s="1"/>
      <c r="F228" s="42"/>
    </row>
    <row r="229" spans="1:6" s="65" customFormat="1" ht="18" x14ac:dyDescent="0.5">
      <c r="A229" s="21">
        <v>225</v>
      </c>
      <c r="B229" s="107" t="s">
        <v>198</v>
      </c>
      <c r="C229" s="40" t="s">
        <v>27</v>
      </c>
      <c r="D229" s="41">
        <v>3.04</v>
      </c>
      <c r="E229" s="1"/>
      <c r="F229" s="42">
        <f t="shared" ref="F229:F235" si="12">D229*E229</f>
        <v>0</v>
      </c>
    </row>
    <row r="230" spans="1:6" s="65" customFormat="1" ht="18" x14ac:dyDescent="0.5">
      <c r="A230" s="16">
        <v>226</v>
      </c>
      <c r="B230" s="107" t="s">
        <v>63</v>
      </c>
      <c r="C230" s="40" t="s">
        <v>27</v>
      </c>
      <c r="D230" s="41">
        <v>0.13500000000000001</v>
      </c>
      <c r="E230" s="1"/>
      <c r="F230" s="42">
        <f t="shared" si="12"/>
        <v>0</v>
      </c>
    </row>
    <row r="231" spans="1:6" s="65" customFormat="1" ht="18" x14ac:dyDescent="0.5">
      <c r="A231" s="16">
        <v>227</v>
      </c>
      <c r="B231" s="107" t="s">
        <v>135</v>
      </c>
      <c r="C231" s="40" t="s">
        <v>27</v>
      </c>
      <c r="D231" s="41">
        <v>4.5000000000000005E-2</v>
      </c>
      <c r="E231" s="1"/>
      <c r="F231" s="42">
        <f t="shared" si="12"/>
        <v>0</v>
      </c>
    </row>
    <row r="232" spans="1:6" s="65" customFormat="1" ht="18" x14ac:dyDescent="0.5">
      <c r="A232" s="21">
        <v>228</v>
      </c>
      <c r="B232" s="107" t="s">
        <v>65</v>
      </c>
      <c r="C232" s="40" t="s">
        <v>27</v>
      </c>
      <c r="D232" s="41">
        <v>9.0000000000000011E-2</v>
      </c>
      <c r="E232" s="1"/>
      <c r="F232" s="42">
        <f t="shared" si="12"/>
        <v>0</v>
      </c>
    </row>
    <row r="233" spans="1:6" s="65" customFormat="1" ht="18" x14ac:dyDescent="0.5">
      <c r="A233" s="16">
        <v>229</v>
      </c>
      <c r="B233" s="107" t="s">
        <v>214</v>
      </c>
      <c r="C233" s="40" t="s">
        <v>27</v>
      </c>
      <c r="D233" s="41">
        <v>0.192</v>
      </c>
      <c r="E233" s="1"/>
      <c r="F233" s="42">
        <f t="shared" si="12"/>
        <v>0</v>
      </c>
    </row>
    <row r="234" spans="1:6" s="65" customFormat="1" ht="18" x14ac:dyDescent="0.5">
      <c r="A234" s="16">
        <v>230</v>
      </c>
      <c r="B234" s="107" t="s">
        <v>215</v>
      </c>
      <c r="C234" s="40" t="s">
        <v>34</v>
      </c>
      <c r="D234" s="41">
        <v>2.04</v>
      </c>
      <c r="E234" s="1"/>
      <c r="F234" s="42">
        <f t="shared" si="12"/>
        <v>0</v>
      </c>
    </row>
    <row r="235" spans="1:6" s="65" customFormat="1" ht="18" x14ac:dyDescent="0.5">
      <c r="A235" s="21">
        <v>231</v>
      </c>
      <c r="B235" s="107" t="s">
        <v>216</v>
      </c>
      <c r="C235" s="40" t="s">
        <v>193</v>
      </c>
      <c r="D235" s="41">
        <v>1</v>
      </c>
      <c r="E235" s="1"/>
      <c r="F235" s="42">
        <f t="shared" si="12"/>
        <v>0</v>
      </c>
    </row>
    <row r="236" spans="1:6" s="65" customFormat="1" ht="18" x14ac:dyDescent="0.5">
      <c r="A236" s="16">
        <v>232</v>
      </c>
      <c r="B236" s="47" t="s">
        <v>71</v>
      </c>
      <c r="C236" s="33"/>
      <c r="D236" s="33"/>
      <c r="E236" s="143"/>
      <c r="F236" s="33">
        <f>SUM(F203:F235)*1</f>
        <v>0</v>
      </c>
    </row>
    <row r="237" spans="1:6" s="65" customFormat="1" ht="18" x14ac:dyDescent="0.5">
      <c r="A237" s="16">
        <v>233</v>
      </c>
      <c r="B237" s="39" t="s">
        <v>217</v>
      </c>
      <c r="C237" s="40"/>
      <c r="D237" s="41"/>
      <c r="E237" s="1"/>
      <c r="F237" s="42"/>
    </row>
    <row r="238" spans="1:6" s="65" customFormat="1" ht="18" x14ac:dyDescent="0.5">
      <c r="A238" s="21">
        <v>234</v>
      </c>
      <c r="B238" s="107" t="s">
        <v>218</v>
      </c>
      <c r="C238" s="40" t="s">
        <v>21</v>
      </c>
      <c r="D238" s="41">
        <v>1</v>
      </c>
      <c r="E238" s="1"/>
      <c r="F238" s="42">
        <f>D238*E238</f>
        <v>0</v>
      </c>
    </row>
    <row r="239" spans="1:6" s="65" customFormat="1" ht="18" x14ac:dyDescent="0.5">
      <c r="A239" s="16">
        <v>235</v>
      </c>
      <c r="B239" s="107" t="s">
        <v>219</v>
      </c>
      <c r="C239" s="40" t="s">
        <v>16</v>
      </c>
      <c r="D239" s="41">
        <v>1</v>
      </c>
      <c r="E239" s="1"/>
      <c r="F239" s="42">
        <f>D239*E239</f>
        <v>0</v>
      </c>
    </row>
    <row r="240" spans="1:6" s="65" customFormat="1" ht="18" x14ac:dyDescent="0.5">
      <c r="A240" s="16">
        <v>236</v>
      </c>
      <c r="B240" s="47" t="s">
        <v>220</v>
      </c>
      <c r="C240" s="33"/>
      <c r="D240" s="33"/>
      <c r="E240" s="143"/>
      <c r="F240" s="33">
        <f>SUM(F238:F239)</f>
        <v>0</v>
      </c>
    </row>
    <row r="241" spans="1:6" s="65" customFormat="1" ht="18" x14ac:dyDescent="0.5">
      <c r="A241" s="21">
        <v>237</v>
      </c>
      <c r="B241" s="47" t="s">
        <v>221</v>
      </c>
      <c r="C241" s="33"/>
      <c r="D241" s="33"/>
      <c r="E241" s="143"/>
      <c r="F241" s="33">
        <f>F240+F236</f>
        <v>0</v>
      </c>
    </row>
    <row r="242" spans="1:6" s="65" customFormat="1" ht="18" x14ac:dyDescent="0.5">
      <c r="A242" s="16">
        <v>238</v>
      </c>
      <c r="B242" s="39" t="s">
        <v>222</v>
      </c>
      <c r="C242" s="40"/>
      <c r="D242" s="41"/>
      <c r="E242" s="1"/>
      <c r="F242" s="42"/>
    </row>
    <row r="243" spans="1:6" s="65" customFormat="1" ht="18" x14ac:dyDescent="0.5">
      <c r="A243" s="16">
        <v>239</v>
      </c>
      <c r="B243" s="107" t="s">
        <v>183</v>
      </c>
      <c r="C243" s="40" t="s">
        <v>27</v>
      </c>
      <c r="D243" s="41">
        <v>22.51</v>
      </c>
      <c r="E243" s="1"/>
      <c r="F243" s="42">
        <f t="shared" ref="F243:F256" si="13">D243*E243</f>
        <v>0</v>
      </c>
    </row>
    <row r="244" spans="1:6" s="65" customFormat="1" ht="18" x14ac:dyDescent="0.5">
      <c r="A244" s="21">
        <v>240</v>
      </c>
      <c r="B244" s="107" t="s">
        <v>184</v>
      </c>
      <c r="C244" s="40" t="s">
        <v>27</v>
      </c>
      <c r="D244" s="41">
        <v>2.1800000000000002</v>
      </c>
      <c r="E244" s="1"/>
      <c r="F244" s="42">
        <f t="shared" si="13"/>
        <v>0</v>
      </c>
    </row>
    <row r="245" spans="1:6" s="65" customFormat="1" ht="18" x14ac:dyDescent="0.5">
      <c r="A245" s="16">
        <v>241</v>
      </c>
      <c r="B245" s="107" t="s">
        <v>135</v>
      </c>
      <c r="C245" s="40" t="s">
        <v>27</v>
      </c>
      <c r="D245" s="41">
        <v>0.38</v>
      </c>
      <c r="E245" s="1"/>
      <c r="F245" s="42">
        <f t="shared" si="13"/>
        <v>0</v>
      </c>
    </row>
    <row r="246" spans="1:6" s="65" customFormat="1" ht="18" x14ac:dyDescent="0.5">
      <c r="A246" s="16">
        <v>242</v>
      </c>
      <c r="B246" s="107" t="s">
        <v>185</v>
      </c>
      <c r="C246" s="40" t="s">
        <v>27</v>
      </c>
      <c r="D246" s="41">
        <v>1.1000000000000001</v>
      </c>
      <c r="E246" s="1"/>
      <c r="F246" s="42">
        <f t="shared" si="13"/>
        <v>0</v>
      </c>
    </row>
    <row r="247" spans="1:6" s="65" customFormat="1" ht="18" x14ac:dyDescent="0.5">
      <c r="A247" s="21">
        <v>243</v>
      </c>
      <c r="B247" s="107" t="s">
        <v>223</v>
      </c>
      <c r="C247" s="40" t="s">
        <v>27</v>
      </c>
      <c r="D247" s="41">
        <v>6.9999999999999993E-2</v>
      </c>
      <c r="E247" s="1"/>
      <c r="F247" s="42">
        <f t="shared" si="13"/>
        <v>0</v>
      </c>
    </row>
    <row r="248" spans="1:6" s="65" customFormat="1" ht="18" x14ac:dyDescent="0.5">
      <c r="A248" s="16">
        <v>244</v>
      </c>
      <c r="B248" s="107" t="s">
        <v>224</v>
      </c>
      <c r="C248" s="40" t="s">
        <v>27</v>
      </c>
      <c r="D248" s="41">
        <v>0.98</v>
      </c>
      <c r="E248" s="1"/>
      <c r="F248" s="42">
        <f t="shared" si="13"/>
        <v>0</v>
      </c>
    </row>
    <row r="249" spans="1:6" s="65" customFormat="1" ht="18" x14ac:dyDescent="0.5">
      <c r="A249" s="16">
        <v>245</v>
      </c>
      <c r="B249" s="107" t="s">
        <v>225</v>
      </c>
      <c r="C249" s="40" t="s">
        <v>34</v>
      </c>
      <c r="D249" s="41">
        <v>13.92</v>
      </c>
      <c r="E249" s="1"/>
      <c r="F249" s="42">
        <f t="shared" si="13"/>
        <v>0</v>
      </c>
    </row>
    <row r="250" spans="1:6" s="65" customFormat="1" ht="18" x14ac:dyDescent="0.5">
      <c r="A250" s="21">
        <v>246</v>
      </c>
      <c r="B250" s="107" t="s">
        <v>189</v>
      </c>
      <c r="C250" s="40" t="s">
        <v>34</v>
      </c>
      <c r="D250" s="41">
        <v>0.11</v>
      </c>
      <c r="E250" s="1"/>
      <c r="F250" s="42">
        <f t="shared" si="13"/>
        <v>0</v>
      </c>
    </row>
    <row r="251" spans="1:6" s="65" customFormat="1" ht="18" x14ac:dyDescent="0.5">
      <c r="A251" s="16">
        <v>247</v>
      </c>
      <c r="B251" s="107" t="s">
        <v>226</v>
      </c>
      <c r="C251" s="40" t="s">
        <v>34</v>
      </c>
      <c r="D251" s="41">
        <v>0.59</v>
      </c>
      <c r="E251" s="1"/>
      <c r="F251" s="42">
        <f t="shared" si="13"/>
        <v>0</v>
      </c>
    </row>
    <row r="252" spans="1:6" s="65" customFormat="1" ht="18" x14ac:dyDescent="0.5">
      <c r="A252" s="16">
        <v>248</v>
      </c>
      <c r="B252" s="107" t="s">
        <v>227</v>
      </c>
      <c r="C252" s="40" t="s">
        <v>57</v>
      </c>
      <c r="D252" s="41">
        <v>1</v>
      </c>
      <c r="E252" s="1"/>
      <c r="F252" s="42">
        <f t="shared" si="13"/>
        <v>0</v>
      </c>
    </row>
    <row r="253" spans="1:6" s="65" customFormat="1" ht="18" x14ac:dyDescent="0.5">
      <c r="A253" s="21">
        <v>249</v>
      </c>
      <c r="B253" s="107" t="s">
        <v>228</v>
      </c>
      <c r="C253" s="40" t="s">
        <v>193</v>
      </c>
      <c r="D253" s="41">
        <v>1</v>
      </c>
      <c r="E253" s="1"/>
      <c r="F253" s="42">
        <f t="shared" si="13"/>
        <v>0</v>
      </c>
    </row>
    <row r="254" spans="1:6" s="65" customFormat="1" ht="18" x14ac:dyDescent="0.5">
      <c r="A254" s="16">
        <v>250</v>
      </c>
      <c r="B254" s="107" t="s">
        <v>229</v>
      </c>
      <c r="C254" s="40" t="s">
        <v>16</v>
      </c>
      <c r="D254" s="41">
        <v>1</v>
      </c>
      <c r="E254" s="1"/>
      <c r="F254" s="42">
        <f t="shared" si="13"/>
        <v>0</v>
      </c>
    </row>
    <row r="255" spans="1:6" s="65" customFormat="1" ht="18" x14ac:dyDescent="0.5">
      <c r="A255" s="16">
        <v>251</v>
      </c>
      <c r="B255" s="107" t="s">
        <v>230</v>
      </c>
      <c r="C255" s="40" t="s">
        <v>16</v>
      </c>
      <c r="D255" s="41">
        <v>1</v>
      </c>
      <c r="E255" s="1"/>
      <c r="F255" s="42">
        <f t="shared" si="13"/>
        <v>0</v>
      </c>
    </row>
    <row r="256" spans="1:6" s="65" customFormat="1" ht="18" x14ac:dyDescent="0.5">
      <c r="A256" s="21">
        <v>252</v>
      </c>
      <c r="B256" s="107" t="s">
        <v>216</v>
      </c>
      <c r="C256" s="40" t="s">
        <v>193</v>
      </c>
      <c r="D256" s="41">
        <v>1</v>
      </c>
      <c r="E256" s="1"/>
      <c r="F256" s="42">
        <f t="shared" si="13"/>
        <v>0</v>
      </c>
    </row>
    <row r="257" spans="1:6" s="65" customFormat="1" ht="18" x14ac:dyDescent="0.5">
      <c r="A257" s="16">
        <v>253</v>
      </c>
      <c r="B257" s="47" t="s">
        <v>231</v>
      </c>
      <c r="C257" s="33"/>
      <c r="D257" s="33"/>
      <c r="E257" s="143"/>
      <c r="F257" s="33">
        <f>SUM(F243:F256)*1</f>
        <v>0</v>
      </c>
    </row>
    <row r="258" spans="1:6" s="65" customFormat="1" ht="18" x14ac:dyDescent="0.5">
      <c r="A258" s="16">
        <v>254</v>
      </c>
      <c r="B258" s="109" t="s">
        <v>232</v>
      </c>
      <c r="C258" s="110"/>
      <c r="D258" s="111"/>
      <c r="E258" s="161"/>
      <c r="F258" s="112"/>
    </row>
    <row r="259" spans="1:6" s="65" customFormat="1" ht="19.2" x14ac:dyDescent="0.5">
      <c r="A259" s="21">
        <v>255</v>
      </c>
      <c r="B259" s="113" t="s">
        <v>198</v>
      </c>
      <c r="C259" s="114" t="s">
        <v>233</v>
      </c>
      <c r="D259" s="115">
        <v>22.51</v>
      </c>
      <c r="E259" s="162"/>
      <c r="F259" s="116">
        <f t="shared" ref="F259:F272" si="14">D259*E259</f>
        <v>0</v>
      </c>
    </row>
    <row r="260" spans="1:6" s="65" customFormat="1" ht="19.2" x14ac:dyDescent="0.5">
      <c r="A260" s="16">
        <v>256</v>
      </c>
      <c r="B260" s="113" t="s">
        <v>234</v>
      </c>
      <c r="C260" s="114" t="s">
        <v>233</v>
      </c>
      <c r="D260" s="115">
        <f>((5.2*4.4)-2*((0.7*1.2)+(1.5*1.4))  )*0.15</f>
        <v>2.5500000000000003</v>
      </c>
      <c r="E260" s="162"/>
      <c r="F260" s="116">
        <f t="shared" si="14"/>
        <v>0</v>
      </c>
    </row>
    <row r="261" spans="1:6" s="65" customFormat="1" ht="19.2" x14ac:dyDescent="0.5">
      <c r="A261" s="16">
        <v>257</v>
      </c>
      <c r="B261" s="113" t="s">
        <v>135</v>
      </c>
      <c r="C261" s="114" t="s">
        <v>233</v>
      </c>
      <c r="D261" s="115">
        <f>D260/0.3*0.06</f>
        <v>0.51000000000000012</v>
      </c>
      <c r="E261" s="162"/>
      <c r="F261" s="116">
        <f t="shared" si="14"/>
        <v>0</v>
      </c>
    </row>
    <row r="262" spans="1:6" s="65" customFormat="1" ht="19.2" x14ac:dyDescent="0.5">
      <c r="A262" s="21">
        <v>258</v>
      </c>
      <c r="B262" s="113" t="s">
        <v>235</v>
      </c>
      <c r="C262" s="114" t="s">
        <v>233</v>
      </c>
      <c r="D262" s="115">
        <f>((3.7-0.2)*(4.4-0.2)-2*(0.7*1.2)  )*0.12</f>
        <v>1.5624</v>
      </c>
      <c r="E262" s="162"/>
      <c r="F262" s="116">
        <f t="shared" si="14"/>
        <v>0</v>
      </c>
    </row>
    <row r="263" spans="1:6" s="65" customFormat="1" ht="19.2" x14ac:dyDescent="0.5">
      <c r="A263" s="16">
        <v>259</v>
      </c>
      <c r="B263" s="113" t="s">
        <v>236</v>
      </c>
      <c r="C263" s="114" t="s">
        <v>233</v>
      </c>
      <c r="D263" s="115">
        <v>0.17</v>
      </c>
      <c r="E263" s="162"/>
      <c r="F263" s="116">
        <f t="shared" si="14"/>
        <v>0</v>
      </c>
    </row>
    <row r="264" spans="1:6" s="65" customFormat="1" ht="19.2" x14ac:dyDescent="0.5">
      <c r="A264" s="16">
        <v>260</v>
      </c>
      <c r="B264" s="113" t="s">
        <v>237</v>
      </c>
      <c r="C264" s="114" t="s">
        <v>233</v>
      </c>
      <c r="D264" s="115">
        <f xml:space="preserve"> 0.2*((1.7+1+3)*0.7+ (3*0.7))  + ( (1.9+2)*2+0.7*2)*0.1*0.4</f>
        <v>1.5859999999999999</v>
      </c>
      <c r="E264" s="162"/>
      <c r="F264" s="116">
        <f t="shared" si="14"/>
        <v>0</v>
      </c>
    </row>
    <row r="265" spans="1:6" s="65" customFormat="1" ht="19.2" x14ac:dyDescent="0.5">
      <c r="A265" s="21">
        <v>261</v>
      </c>
      <c r="B265" s="113" t="s">
        <v>238</v>
      </c>
      <c r="C265" s="114" t="s">
        <v>239</v>
      </c>
      <c r="D265" s="115">
        <f>2*((1.7+1+3)*0.7+ (3*0.7)  +  ((1.9+2)*2+0.7*2)*0.1)</f>
        <v>14.02</v>
      </c>
      <c r="E265" s="162"/>
      <c r="F265" s="116">
        <f t="shared" si="14"/>
        <v>0</v>
      </c>
    </row>
    <row r="266" spans="1:6" s="65" customFormat="1" ht="19.2" x14ac:dyDescent="0.5">
      <c r="A266" s="16">
        <v>262</v>
      </c>
      <c r="B266" s="113" t="s">
        <v>189</v>
      </c>
      <c r="C266" s="114" t="s">
        <v>239</v>
      </c>
      <c r="D266" s="115">
        <v>0.14000000000000001</v>
      </c>
      <c r="E266" s="162"/>
      <c r="F266" s="116">
        <f t="shared" si="14"/>
        <v>0</v>
      </c>
    </row>
    <row r="267" spans="1:6" s="65" customFormat="1" ht="19.2" x14ac:dyDescent="0.5">
      <c r="A267" s="16">
        <v>263</v>
      </c>
      <c r="B267" s="113" t="s">
        <v>240</v>
      </c>
      <c r="C267" s="114" t="s">
        <v>239</v>
      </c>
      <c r="D267" s="115">
        <f>(1+0.9*2)*0.3</f>
        <v>0.84</v>
      </c>
      <c r="E267" s="162"/>
      <c r="F267" s="116">
        <f t="shared" si="14"/>
        <v>0</v>
      </c>
    </row>
    <row r="268" spans="1:6" s="65" customFormat="1" ht="18" x14ac:dyDescent="0.5">
      <c r="A268" s="21">
        <v>264</v>
      </c>
      <c r="B268" s="113" t="s">
        <v>241</v>
      </c>
      <c r="C268" s="114" t="s">
        <v>57</v>
      </c>
      <c r="D268" s="115">
        <v>1</v>
      </c>
      <c r="E268" s="162"/>
      <c r="F268" s="116">
        <f t="shared" si="14"/>
        <v>0</v>
      </c>
    </row>
    <row r="269" spans="1:6" s="65" customFormat="1" ht="19.2" x14ac:dyDescent="0.5">
      <c r="A269" s="16">
        <v>265</v>
      </c>
      <c r="B269" s="113" t="s">
        <v>242</v>
      </c>
      <c r="C269" s="114" t="s">
        <v>57</v>
      </c>
      <c r="D269" s="115">
        <v>1</v>
      </c>
      <c r="E269" s="162"/>
      <c r="F269" s="116">
        <f t="shared" si="14"/>
        <v>0</v>
      </c>
    </row>
    <row r="270" spans="1:6" s="65" customFormat="1" ht="18" x14ac:dyDescent="0.5">
      <c r="A270" s="16">
        <v>266</v>
      </c>
      <c r="B270" s="107" t="s">
        <v>229</v>
      </c>
      <c r="C270" s="40" t="s">
        <v>16</v>
      </c>
      <c r="D270" s="41">
        <v>1</v>
      </c>
      <c r="E270" s="1"/>
      <c r="F270" s="42">
        <f t="shared" si="14"/>
        <v>0</v>
      </c>
    </row>
    <row r="271" spans="1:6" s="65" customFormat="1" ht="18" x14ac:dyDescent="0.5">
      <c r="A271" s="21">
        <v>267</v>
      </c>
      <c r="B271" s="107" t="s">
        <v>230</v>
      </c>
      <c r="C271" s="40" t="s">
        <v>16</v>
      </c>
      <c r="D271" s="41">
        <v>1</v>
      </c>
      <c r="E271" s="1"/>
      <c r="F271" s="42">
        <f t="shared" si="14"/>
        <v>0</v>
      </c>
    </row>
    <row r="272" spans="1:6" s="65" customFormat="1" ht="18" x14ac:dyDescent="0.5">
      <c r="A272" s="16">
        <v>268</v>
      </c>
      <c r="B272" s="113" t="s">
        <v>228</v>
      </c>
      <c r="C272" s="117" t="s">
        <v>243</v>
      </c>
      <c r="D272" s="118">
        <v>1</v>
      </c>
      <c r="E272" s="163"/>
      <c r="F272" s="119">
        <f t="shared" si="14"/>
        <v>0</v>
      </c>
    </row>
    <row r="273" spans="1:6" s="65" customFormat="1" ht="18" x14ac:dyDescent="0.5">
      <c r="A273" s="16">
        <v>269</v>
      </c>
      <c r="B273" s="47" t="s">
        <v>244</v>
      </c>
      <c r="C273" s="33"/>
      <c r="D273" s="33"/>
      <c r="E273" s="143"/>
      <c r="F273" s="33">
        <f>SUM(F259:F272)*1</f>
        <v>0</v>
      </c>
    </row>
    <row r="274" spans="1:6" s="65" customFormat="1" ht="18" x14ac:dyDescent="0.5">
      <c r="A274" s="21">
        <v>270</v>
      </c>
      <c r="B274" s="47" t="s">
        <v>245</v>
      </c>
      <c r="C274" s="33"/>
      <c r="D274" s="33"/>
      <c r="E274" s="143"/>
      <c r="F274" s="33">
        <f>F273+F257</f>
        <v>0</v>
      </c>
    </row>
    <row r="275" spans="1:6" s="65" customFormat="1" ht="19.2" x14ac:dyDescent="0.5">
      <c r="A275" s="16">
        <v>271</v>
      </c>
      <c r="B275" s="120" t="s">
        <v>246</v>
      </c>
      <c r="C275" s="49" t="s">
        <v>73</v>
      </c>
      <c r="D275" s="49" t="s">
        <v>73</v>
      </c>
      <c r="E275" s="146"/>
      <c r="F275" s="50">
        <f>F274+F241+F201+F185+F171</f>
        <v>0</v>
      </c>
    </row>
    <row r="276" spans="1:6" s="65" customFormat="1" ht="18" x14ac:dyDescent="0.5">
      <c r="A276" s="16">
        <v>272</v>
      </c>
      <c r="B276" s="104" t="s">
        <v>74</v>
      </c>
      <c r="C276" s="18"/>
      <c r="D276" s="51"/>
      <c r="E276" s="147"/>
      <c r="F276" s="20">
        <f>F275*0.18</f>
        <v>0</v>
      </c>
    </row>
    <row r="277" spans="1:6" s="65" customFormat="1" ht="19.2" x14ac:dyDescent="0.5">
      <c r="A277" s="21">
        <v>273</v>
      </c>
      <c r="B277" s="120" t="s">
        <v>247</v>
      </c>
      <c r="C277" s="49"/>
      <c r="D277" s="53"/>
      <c r="E277" s="146"/>
      <c r="F277" s="50">
        <f>F275+F276</f>
        <v>0</v>
      </c>
    </row>
    <row r="278" spans="1:6" ht="18" x14ac:dyDescent="0.5">
      <c r="A278" s="16">
        <v>274</v>
      </c>
      <c r="B278" s="8" t="s">
        <v>248</v>
      </c>
      <c r="C278" s="58"/>
      <c r="D278" s="59"/>
      <c r="E278" s="149"/>
      <c r="F278" s="58"/>
    </row>
    <row r="279" spans="1:6" ht="18" x14ac:dyDescent="0.5">
      <c r="A279" s="16">
        <v>275</v>
      </c>
      <c r="B279" s="60" t="s">
        <v>2</v>
      </c>
      <c r="C279" s="61" t="s">
        <v>3</v>
      </c>
      <c r="D279" s="62" t="s">
        <v>4</v>
      </c>
      <c r="E279" s="150"/>
      <c r="F279" s="61" t="s">
        <v>6</v>
      </c>
    </row>
    <row r="280" spans="1:6" s="65" customFormat="1" ht="18" x14ac:dyDescent="0.5">
      <c r="A280" s="21">
        <v>276</v>
      </c>
      <c r="B280" s="63" t="s">
        <v>7</v>
      </c>
      <c r="C280" s="64"/>
      <c r="D280" s="64"/>
      <c r="E280" s="151"/>
      <c r="F280" s="64"/>
    </row>
    <row r="281" spans="1:6" s="65" customFormat="1" ht="36" x14ac:dyDescent="0.5">
      <c r="A281" s="16">
        <v>277</v>
      </c>
      <c r="B281" s="66" t="s">
        <v>77</v>
      </c>
      <c r="C281" s="26" t="s">
        <v>21</v>
      </c>
      <c r="D281" s="27">
        <v>1</v>
      </c>
      <c r="E281" s="141"/>
      <c r="F281" s="26">
        <f>E281*D281</f>
        <v>0</v>
      </c>
    </row>
    <row r="282" spans="1:6" s="65" customFormat="1" ht="36" x14ac:dyDescent="0.5">
      <c r="A282" s="16">
        <v>278</v>
      </c>
      <c r="B282" s="66" t="s">
        <v>10</v>
      </c>
      <c r="C282" s="26" t="s">
        <v>21</v>
      </c>
      <c r="D282" s="27">
        <v>1</v>
      </c>
      <c r="E282" s="141"/>
      <c r="F282" s="26">
        <f>E282*D282</f>
        <v>0</v>
      </c>
    </row>
    <row r="283" spans="1:6" s="65" customFormat="1" ht="18" x14ac:dyDescent="0.5">
      <c r="A283" s="21">
        <v>279</v>
      </c>
      <c r="B283" s="67" t="s">
        <v>11</v>
      </c>
      <c r="C283" s="68" t="s">
        <v>73</v>
      </c>
      <c r="D283" s="68" t="s">
        <v>73</v>
      </c>
      <c r="E283" s="152"/>
      <c r="F283" s="69">
        <f>SUM(F281:F282)</f>
        <v>0</v>
      </c>
    </row>
    <row r="284" spans="1:6" s="65" customFormat="1" ht="36" x14ac:dyDescent="0.5">
      <c r="A284" s="16">
        <v>280</v>
      </c>
      <c r="B284" s="63" t="s">
        <v>78</v>
      </c>
      <c r="C284" s="64"/>
      <c r="D284" s="64"/>
      <c r="E284" s="151"/>
      <c r="F284" s="64"/>
    </row>
    <row r="285" spans="1:6" s="65" customFormat="1" ht="36" x14ac:dyDescent="0.5">
      <c r="A285" s="16">
        <v>281</v>
      </c>
      <c r="B285" s="70" t="s">
        <v>80</v>
      </c>
      <c r="C285" s="30" t="s">
        <v>21</v>
      </c>
      <c r="D285" s="30">
        <v>9</v>
      </c>
      <c r="E285" s="142"/>
      <c r="F285" s="31">
        <f>E285*D285</f>
        <v>0</v>
      </c>
    </row>
    <row r="286" spans="1:6" s="65" customFormat="1" ht="36" x14ac:dyDescent="0.5">
      <c r="A286" s="21">
        <v>282</v>
      </c>
      <c r="B286" s="70" t="s">
        <v>81</v>
      </c>
      <c r="C286" s="30" t="s">
        <v>21</v>
      </c>
      <c r="D286" s="30">
        <v>14</v>
      </c>
      <c r="E286" s="142"/>
      <c r="F286" s="31">
        <f>E286*D286</f>
        <v>0</v>
      </c>
    </row>
    <row r="287" spans="1:6" s="65" customFormat="1" ht="36" x14ac:dyDescent="0.5">
      <c r="A287" s="16">
        <v>283</v>
      </c>
      <c r="B287" s="70" t="s">
        <v>82</v>
      </c>
      <c r="C287" s="30" t="s">
        <v>21</v>
      </c>
      <c r="D287" s="30">
        <v>2</v>
      </c>
      <c r="E287" s="142"/>
      <c r="F287" s="31">
        <f>E287*D287</f>
        <v>0</v>
      </c>
    </row>
    <row r="288" spans="1:6" s="65" customFormat="1" ht="72" x14ac:dyDescent="0.5">
      <c r="A288" s="16">
        <v>284</v>
      </c>
      <c r="B288" s="70" t="s">
        <v>249</v>
      </c>
      <c r="C288" s="30" t="s">
        <v>59</v>
      </c>
      <c r="D288" s="30">
        <v>940</v>
      </c>
      <c r="E288" s="142"/>
      <c r="F288" s="31">
        <f>E288*D288</f>
        <v>0</v>
      </c>
    </row>
    <row r="289" spans="1:6" s="65" customFormat="1" ht="36" x14ac:dyDescent="0.5">
      <c r="A289" s="21">
        <v>285</v>
      </c>
      <c r="B289" s="70" t="s">
        <v>84</v>
      </c>
      <c r="C289" s="30" t="s">
        <v>21</v>
      </c>
      <c r="D289" s="30">
        <v>1</v>
      </c>
      <c r="E289" s="142"/>
      <c r="F289" s="31">
        <f>E289*D289</f>
        <v>0</v>
      </c>
    </row>
    <row r="290" spans="1:6" s="65" customFormat="1" ht="18" x14ac:dyDescent="0.5">
      <c r="A290" s="16">
        <v>286</v>
      </c>
      <c r="B290" s="67" t="s">
        <v>85</v>
      </c>
      <c r="C290" s="68" t="s">
        <v>73</v>
      </c>
      <c r="D290" s="68" t="s">
        <v>73</v>
      </c>
      <c r="E290" s="152"/>
      <c r="F290" s="69">
        <f>SUM(F285:F289)</f>
        <v>0</v>
      </c>
    </row>
    <row r="291" spans="1:6" s="65" customFormat="1" ht="18" x14ac:dyDescent="0.5">
      <c r="A291" s="16">
        <v>287</v>
      </c>
      <c r="B291" s="72" t="s">
        <v>250</v>
      </c>
      <c r="C291" s="73" t="s">
        <v>73</v>
      </c>
      <c r="D291" s="73" t="s">
        <v>73</v>
      </c>
      <c r="E291" s="154"/>
      <c r="F291" s="74">
        <f>F290+F283</f>
        <v>0</v>
      </c>
    </row>
    <row r="292" spans="1:6" s="65" customFormat="1" ht="18" x14ac:dyDescent="0.5">
      <c r="A292" s="21">
        <v>288</v>
      </c>
      <c r="B292" s="75" t="s">
        <v>74</v>
      </c>
      <c r="C292" s="76"/>
      <c r="D292" s="77"/>
      <c r="E292" s="155"/>
      <c r="F292" s="77">
        <f>F291*0.18</f>
        <v>0</v>
      </c>
    </row>
    <row r="293" spans="1:6" s="65" customFormat="1" ht="38.4" x14ac:dyDescent="0.5">
      <c r="A293" s="16">
        <v>289</v>
      </c>
      <c r="B293" s="52" t="s">
        <v>251</v>
      </c>
      <c r="C293" s="49"/>
      <c r="D293" s="53"/>
      <c r="E293" s="146"/>
      <c r="F293" s="78">
        <f>F291+F292</f>
        <v>0</v>
      </c>
    </row>
    <row r="294" spans="1:6" ht="18" x14ac:dyDescent="0.5">
      <c r="A294" s="16">
        <v>290</v>
      </c>
      <c r="B294" s="8" t="s">
        <v>252</v>
      </c>
      <c r="C294" s="58"/>
      <c r="D294" s="59"/>
      <c r="E294" s="149"/>
      <c r="F294" s="58"/>
    </row>
    <row r="295" spans="1:6" ht="18" x14ac:dyDescent="0.5">
      <c r="A295" s="21">
        <v>291</v>
      </c>
      <c r="B295" s="60" t="s">
        <v>2</v>
      </c>
      <c r="C295" s="61" t="s">
        <v>3</v>
      </c>
      <c r="D295" s="62" t="s">
        <v>4</v>
      </c>
      <c r="E295" s="150"/>
      <c r="F295" s="61" t="s">
        <v>6</v>
      </c>
    </row>
    <row r="296" spans="1:6" s="65" customFormat="1" ht="18" x14ac:dyDescent="0.5">
      <c r="A296" s="16">
        <v>292</v>
      </c>
      <c r="B296" s="63" t="s">
        <v>253</v>
      </c>
      <c r="C296" s="64" t="s">
        <v>73</v>
      </c>
      <c r="D296" s="64" t="s">
        <v>73</v>
      </c>
      <c r="E296" s="151"/>
      <c r="F296" s="64" t="s">
        <v>73</v>
      </c>
    </row>
    <row r="297" spans="1:6" s="65" customFormat="1" ht="18" x14ac:dyDescent="0.5">
      <c r="A297" s="16">
        <v>293</v>
      </c>
      <c r="B297" s="63" t="s">
        <v>104</v>
      </c>
      <c r="C297" s="64" t="s">
        <v>73</v>
      </c>
      <c r="D297" s="64" t="s">
        <v>73</v>
      </c>
      <c r="E297" s="151"/>
      <c r="F297" s="64" t="s">
        <v>73</v>
      </c>
    </row>
    <row r="298" spans="1:6" s="65" customFormat="1" ht="18" x14ac:dyDescent="0.5">
      <c r="A298" s="21">
        <v>294</v>
      </c>
      <c r="B298" s="70" t="s">
        <v>131</v>
      </c>
      <c r="C298" s="30" t="s">
        <v>16</v>
      </c>
      <c r="D298" s="30">
        <v>1</v>
      </c>
      <c r="E298" s="142"/>
      <c r="F298" s="31">
        <f>E298*D298</f>
        <v>0</v>
      </c>
    </row>
    <row r="299" spans="1:6" s="65" customFormat="1" ht="18" x14ac:dyDescent="0.5">
      <c r="A299" s="16">
        <v>295</v>
      </c>
      <c r="B299" s="70" t="s">
        <v>132</v>
      </c>
      <c r="C299" s="30" t="s">
        <v>16</v>
      </c>
      <c r="D299" s="30">
        <v>1</v>
      </c>
      <c r="E299" s="142"/>
      <c r="F299" s="31">
        <f>E299*D299</f>
        <v>0</v>
      </c>
    </row>
    <row r="300" spans="1:6" s="65" customFormat="1" ht="18" x14ac:dyDescent="0.5">
      <c r="A300" s="16">
        <v>296</v>
      </c>
      <c r="B300" s="70" t="s">
        <v>254</v>
      </c>
      <c r="C300" s="30" t="s">
        <v>255</v>
      </c>
      <c r="D300" s="30">
        <v>1.8</v>
      </c>
      <c r="E300" s="142"/>
      <c r="F300" s="31">
        <f>E300*D300</f>
        <v>0</v>
      </c>
    </row>
    <row r="301" spans="1:6" s="65" customFormat="1" ht="18" x14ac:dyDescent="0.5">
      <c r="A301" s="21">
        <v>297</v>
      </c>
      <c r="B301" s="63" t="s">
        <v>133</v>
      </c>
      <c r="C301" s="64" t="s">
        <v>73</v>
      </c>
      <c r="D301" s="64" t="s">
        <v>73</v>
      </c>
      <c r="E301" s="151"/>
      <c r="F301" s="79">
        <f>SUM(F298:F300)</f>
        <v>0</v>
      </c>
    </row>
    <row r="302" spans="1:6" s="65" customFormat="1" ht="18" x14ac:dyDescent="0.5">
      <c r="A302" s="16">
        <v>298</v>
      </c>
      <c r="B302" s="63" t="s">
        <v>134</v>
      </c>
      <c r="C302" s="64" t="s">
        <v>73</v>
      </c>
      <c r="D302" s="64" t="s">
        <v>73</v>
      </c>
      <c r="E302" s="151"/>
      <c r="F302" s="30" t="s">
        <v>73</v>
      </c>
    </row>
    <row r="303" spans="1:6" s="65" customFormat="1" ht="19.8" x14ac:dyDescent="0.5">
      <c r="A303" s="16">
        <v>299</v>
      </c>
      <c r="B303" s="70" t="s">
        <v>135</v>
      </c>
      <c r="C303" s="30" t="s">
        <v>136</v>
      </c>
      <c r="D303" s="30">
        <v>0.73333333333333339</v>
      </c>
      <c r="E303" s="142"/>
      <c r="F303" s="31">
        <f t="shared" ref="F303:F311" si="15">E303*D303</f>
        <v>0</v>
      </c>
    </row>
    <row r="304" spans="1:6" s="65" customFormat="1" ht="19.8" x14ac:dyDescent="0.5">
      <c r="A304" s="21">
        <v>300</v>
      </c>
      <c r="B304" s="70" t="s">
        <v>137</v>
      </c>
      <c r="C304" s="30" t="s">
        <v>136</v>
      </c>
      <c r="D304" s="30">
        <v>2.8800000000000003</v>
      </c>
      <c r="E304" s="142"/>
      <c r="F304" s="31">
        <f t="shared" si="15"/>
        <v>0</v>
      </c>
    </row>
    <row r="305" spans="1:6" s="65" customFormat="1" ht="36" x14ac:dyDescent="0.5">
      <c r="A305" s="16">
        <v>301</v>
      </c>
      <c r="B305" s="70" t="s">
        <v>138</v>
      </c>
      <c r="C305" s="30" t="s">
        <v>139</v>
      </c>
      <c r="D305" s="30">
        <v>9.6</v>
      </c>
      <c r="E305" s="142"/>
      <c r="F305" s="31">
        <f t="shared" si="15"/>
        <v>0</v>
      </c>
    </row>
    <row r="306" spans="1:6" s="65" customFormat="1" ht="19.8" x14ac:dyDescent="0.5">
      <c r="A306" s="16">
        <v>302</v>
      </c>
      <c r="B306" s="70" t="s">
        <v>140</v>
      </c>
      <c r="C306" s="30" t="s">
        <v>136</v>
      </c>
      <c r="D306" s="30">
        <v>0.77333333333333332</v>
      </c>
      <c r="E306" s="142"/>
      <c r="F306" s="31">
        <f t="shared" si="15"/>
        <v>0</v>
      </c>
    </row>
    <row r="307" spans="1:6" s="65" customFormat="1" ht="19.8" x14ac:dyDescent="0.5">
      <c r="A307" s="21">
        <v>303</v>
      </c>
      <c r="B307" s="70" t="s">
        <v>141</v>
      </c>
      <c r="C307" s="30" t="s">
        <v>139</v>
      </c>
      <c r="D307" s="30">
        <v>2.6666666666666665</v>
      </c>
      <c r="E307" s="142"/>
      <c r="F307" s="31">
        <f t="shared" si="15"/>
        <v>0</v>
      </c>
    </row>
    <row r="308" spans="1:6" s="65" customFormat="1" ht="36" x14ac:dyDescent="0.5">
      <c r="A308" s="16">
        <v>304</v>
      </c>
      <c r="B308" s="70" t="s">
        <v>142</v>
      </c>
      <c r="C308" s="30" t="s">
        <v>136</v>
      </c>
      <c r="D308" s="30">
        <v>1.4133333333333333</v>
      </c>
      <c r="E308" s="142"/>
      <c r="F308" s="31">
        <f t="shared" si="15"/>
        <v>0</v>
      </c>
    </row>
    <row r="309" spans="1:6" s="65" customFormat="1" ht="19.8" x14ac:dyDescent="0.5">
      <c r="A309" s="16">
        <v>305</v>
      </c>
      <c r="B309" s="70" t="s">
        <v>143</v>
      </c>
      <c r="C309" s="30" t="s">
        <v>136</v>
      </c>
      <c r="D309" s="30">
        <v>0.17333333333333334</v>
      </c>
      <c r="E309" s="142"/>
      <c r="F309" s="31">
        <f t="shared" si="15"/>
        <v>0</v>
      </c>
    </row>
    <row r="310" spans="1:6" s="65" customFormat="1" ht="18" x14ac:dyDescent="0.5">
      <c r="A310" s="21">
        <v>306</v>
      </c>
      <c r="B310" s="70" t="s">
        <v>256</v>
      </c>
      <c r="C310" s="30" t="s">
        <v>16</v>
      </c>
      <c r="D310" s="30">
        <v>1</v>
      </c>
      <c r="E310" s="142"/>
      <c r="F310" s="31">
        <f t="shared" si="15"/>
        <v>0</v>
      </c>
    </row>
    <row r="311" spans="1:6" s="65" customFormat="1" ht="18" x14ac:dyDescent="0.5">
      <c r="A311" s="16">
        <v>307</v>
      </c>
      <c r="B311" s="70" t="s">
        <v>257</v>
      </c>
      <c r="C311" s="30" t="s">
        <v>16</v>
      </c>
      <c r="D311" s="30">
        <v>1</v>
      </c>
      <c r="E311" s="142"/>
      <c r="F311" s="31">
        <f t="shared" si="15"/>
        <v>0</v>
      </c>
    </row>
    <row r="312" spans="1:6" s="65" customFormat="1" ht="18" x14ac:dyDescent="0.5">
      <c r="A312" s="16">
        <v>308</v>
      </c>
      <c r="B312" s="63" t="s">
        <v>144</v>
      </c>
      <c r="C312" s="64" t="s">
        <v>73</v>
      </c>
      <c r="D312" s="64" t="s">
        <v>73</v>
      </c>
      <c r="E312" s="151"/>
      <c r="F312" s="79">
        <f>SUM(F303:F311)</f>
        <v>0</v>
      </c>
    </row>
    <row r="313" spans="1:6" s="65" customFormat="1" ht="18" x14ac:dyDescent="0.5">
      <c r="A313" s="21">
        <v>309</v>
      </c>
      <c r="B313" s="63" t="s">
        <v>145</v>
      </c>
      <c r="C313" s="64" t="s">
        <v>73</v>
      </c>
      <c r="D313" s="64"/>
      <c r="E313" s="151"/>
      <c r="F313" s="30" t="s">
        <v>73</v>
      </c>
    </row>
    <row r="314" spans="1:6" s="65" customFormat="1" ht="36" x14ac:dyDescent="0.5">
      <c r="A314" s="16">
        <v>310</v>
      </c>
      <c r="B314" s="70" t="s">
        <v>146</v>
      </c>
      <c r="C314" s="30" t="s">
        <v>139</v>
      </c>
      <c r="D314" s="30">
        <v>12.4</v>
      </c>
      <c r="E314" s="142"/>
      <c r="F314" s="31">
        <f>E314*D314</f>
        <v>0</v>
      </c>
    </row>
    <row r="315" spans="1:6" s="65" customFormat="1" ht="19.8" x14ac:dyDescent="0.5">
      <c r="A315" s="16">
        <v>311</v>
      </c>
      <c r="B315" s="70" t="s">
        <v>147</v>
      </c>
      <c r="C315" s="30" t="s">
        <v>139</v>
      </c>
      <c r="D315" s="30">
        <v>12.4</v>
      </c>
      <c r="E315" s="142"/>
      <c r="F315" s="31">
        <f>E315*D315</f>
        <v>0</v>
      </c>
    </row>
    <row r="316" spans="1:6" s="65" customFormat="1" ht="18" x14ac:dyDescent="0.5">
      <c r="A316" s="21">
        <v>312</v>
      </c>
      <c r="B316" s="63" t="s">
        <v>258</v>
      </c>
      <c r="C316" s="64" t="s">
        <v>73</v>
      </c>
      <c r="D316" s="64" t="s">
        <v>73</v>
      </c>
      <c r="E316" s="151"/>
      <c r="F316" s="79">
        <f>SUM(F314:F315)</f>
        <v>0</v>
      </c>
    </row>
    <row r="317" spans="1:6" s="65" customFormat="1" ht="18" x14ac:dyDescent="0.5">
      <c r="A317" s="16">
        <v>313</v>
      </c>
      <c r="B317" s="63" t="s">
        <v>107</v>
      </c>
      <c r="C317" s="64" t="s">
        <v>73</v>
      </c>
      <c r="D317" s="64" t="s">
        <v>73</v>
      </c>
      <c r="E317" s="151"/>
      <c r="F317" s="30" t="s">
        <v>73</v>
      </c>
    </row>
    <row r="318" spans="1:6" s="65" customFormat="1" ht="18" x14ac:dyDescent="0.5">
      <c r="A318" s="16">
        <v>314</v>
      </c>
      <c r="B318" s="70" t="s">
        <v>259</v>
      </c>
      <c r="C318" s="30" t="s">
        <v>21</v>
      </c>
      <c r="D318" s="30">
        <v>1</v>
      </c>
      <c r="E318" s="142"/>
      <c r="F318" s="31">
        <f t="shared" ref="F318:F329" si="16">E318*D318</f>
        <v>0</v>
      </c>
    </row>
    <row r="319" spans="1:6" s="65" customFormat="1" ht="18" x14ac:dyDescent="0.5">
      <c r="A319" s="21">
        <v>315</v>
      </c>
      <c r="B319" s="70" t="s">
        <v>150</v>
      </c>
      <c r="C319" s="30" t="s">
        <v>94</v>
      </c>
      <c r="D319" s="30">
        <v>20</v>
      </c>
      <c r="E319" s="142"/>
      <c r="F319" s="31">
        <f t="shared" si="16"/>
        <v>0</v>
      </c>
    </row>
    <row r="320" spans="1:6" s="65" customFormat="1" ht="36" x14ac:dyDescent="0.5">
      <c r="A320" s="16">
        <v>316</v>
      </c>
      <c r="B320" s="70" t="s">
        <v>260</v>
      </c>
      <c r="C320" s="30" t="s">
        <v>21</v>
      </c>
      <c r="D320" s="30">
        <v>1</v>
      </c>
      <c r="E320" s="142"/>
      <c r="F320" s="31">
        <f t="shared" si="16"/>
        <v>0</v>
      </c>
    </row>
    <row r="321" spans="1:7" s="65" customFormat="1" ht="18" x14ac:dyDescent="0.5">
      <c r="A321" s="16">
        <v>317</v>
      </c>
      <c r="B321" s="70" t="s">
        <v>109</v>
      </c>
      <c r="C321" s="30" t="s">
        <v>261</v>
      </c>
      <c r="D321" s="30">
        <v>4</v>
      </c>
      <c r="E321" s="142"/>
      <c r="F321" s="31">
        <f t="shared" si="16"/>
        <v>0</v>
      </c>
    </row>
    <row r="322" spans="1:7" s="65" customFormat="1" ht="36" x14ac:dyDescent="0.5">
      <c r="A322" s="21">
        <v>318</v>
      </c>
      <c r="B322" s="70" t="s">
        <v>262</v>
      </c>
      <c r="C322" s="30" t="s">
        <v>92</v>
      </c>
      <c r="D322" s="30">
        <v>3</v>
      </c>
      <c r="E322" s="142"/>
      <c r="F322" s="31">
        <f t="shared" si="16"/>
        <v>0</v>
      </c>
    </row>
    <row r="323" spans="1:7" s="65" customFormat="1" ht="78.75" customHeight="1" x14ac:dyDescent="0.5">
      <c r="A323" s="16">
        <v>319</v>
      </c>
      <c r="B323" s="70" t="s">
        <v>263</v>
      </c>
      <c r="C323" s="30" t="s">
        <v>92</v>
      </c>
      <c r="D323" s="30">
        <v>1</v>
      </c>
      <c r="E323" s="142"/>
      <c r="F323" s="31">
        <f t="shared" si="16"/>
        <v>0</v>
      </c>
    </row>
    <row r="324" spans="1:7" s="65" customFormat="1" ht="36" x14ac:dyDescent="0.5">
      <c r="A324" s="16">
        <v>320</v>
      </c>
      <c r="B324" s="70" t="s">
        <v>153</v>
      </c>
      <c r="C324" s="30" t="s">
        <v>92</v>
      </c>
      <c r="D324" s="30">
        <v>4</v>
      </c>
      <c r="E324" s="142"/>
      <c r="F324" s="31">
        <f t="shared" si="16"/>
        <v>0</v>
      </c>
    </row>
    <row r="325" spans="1:7" s="65" customFormat="1" ht="36" x14ac:dyDescent="0.5">
      <c r="A325" s="21">
        <v>321</v>
      </c>
      <c r="B325" s="70" t="s">
        <v>154</v>
      </c>
      <c r="C325" s="30" t="s">
        <v>92</v>
      </c>
      <c r="D325" s="30">
        <v>5</v>
      </c>
      <c r="E325" s="142"/>
      <c r="F325" s="31">
        <f t="shared" si="16"/>
        <v>0</v>
      </c>
      <c r="G325" s="15"/>
    </row>
    <row r="326" spans="1:7" s="65" customFormat="1" ht="36" x14ac:dyDescent="0.5">
      <c r="A326" s="16">
        <v>322</v>
      </c>
      <c r="B326" s="70" t="s">
        <v>155</v>
      </c>
      <c r="C326" s="30" t="s">
        <v>92</v>
      </c>
      <c r="D326" s="30">
        <v>4</v>
      </c>
      <c r="E326" s="142"/>
      <c r="F326" s="31">
        <f t="shared" si="16"/>
        <v>0</v>
      </c>
      <c r="G326" s="15"/>
    </row>
    <row r="327" spans="1:7" s="65" customFormat="1" ht="36" x14ac:dyDescent="0.5">
      <c r="A327" s="16">
        <v>323</v>
      </c>
      <c r="B327" s="70" t="s">
        <v>156</v>
      </c>
      <c r="C327" s="30" t="s">
        <v>16</v>
      </c>
      <c r="D327" s="30">
        <v>1</v>
      </c>
      <c r="E327" s="142"/>
      <c r="F327" s="31">
        <f t="shared" si="16"/>
        <v>0</v>
      </c>
      <c r="G327" s="15"/>
    </row>
    <row r="328" spans="1:7" s="65" customFormat="1" ht="18" x14ac:dyDescent="0.5">
      <c r="A328" s="21">
        <v>324</v>
      </c>
      <c r="B328" s="70" t="s">
        <v>157</v>
      </c>
      <c r="C328" s="30" t="s">
        <v>92</v>
      </c>
      <c r="D328" s="30">
        <v>4</v>
      </c>
      <c r="E328" s="142"/>
      <c r="F328" s="31">
        <f t="shared" si="16"/>
        <v>0</v>
      </c>
      <c r="G328" s="15"/>
    </row>
    <row r="329" spans="1:7" s="65" customFormat="1" ht="18" x14ac:dyDescent="0.5">
      <c r="A329" s="16">
        <v>325</v>
      </c>
      <c r="B329" s="70" t="s">
        <v>158</v>
      </c>
      <c r="C329" s="30" t="s">
        <v>16</v>
      </c>
      <c r="D329" s="30">
        <v>1</v>
      </c>
      <c r="E329" s="142"/>
      <c r="F329" s="31">
        <f t="shared" si="16"/>
        <v>0</v>
      </c>
      <c r="G329" s="15"/>
    </row>
    <row r="330" spans="1:7" s="65" customFormat="1" ht="18" x14ac:dyDescent="0.5">
      <c r="A330" s="16">
        <v>326</v>
      </c>
      <c r="B330" s="63" t="s">
        <v>148</v>
      </c>
      <c r="C330" s="64" t="s">
        <v>73</v>
      </c>
      <c r="D330" s="64" t="s">
        <v>73</v>
      </c>
      <c r="E330" s="151"/>
      <c r="F330" s="79">
        <f>SUM(F318:F329)</f>
        <v>0</v>
      </c>
      <c r="G330" s="15"/>
    </row>
    <row r="331" spans="1:7" s="65" customFormat="1" ht="18" x14ac:dyDescent="0.5">
      <c r="A331" s="21">
        <v>327</v>
      </c>
      <c r="B331" s="100"/>
      <c r="C331" s="101"/>
      <c r="D331" s="101"/>
      <c r="E331" s="158"/>
      <c r="F331" s="101"/>
      <c r="G331" s="15"/>
    </row>
    <row r="332" spans="1:7" s="65" customFormat="1" ht="18" x14ac:dyDescent="0.5">
      <c r="A332" s="16">
        <v>328</v>
      </c>
      <c r="B332" s="102" t="s">
        <v>160</v>
      </c>
      <c r="C332" s="98" t="s">
        <v>73</v>
      </c>
      <c r="D332" s="98" t="s">
        <v>73</v>
      </c>
      <c r="E332" s="157"/>
      <c r="F332" s="98" t="s">
        <v>73</v>
      </c>
      <c r="G332" s="15"/>
    </row>
    <row r="333" spans="1:7" s="65" customFormat="1" ht="18" x14ac:dyDescent="0.5">
      <c r="A333" s="16">
        <v>329</v>
      </c>
      <c r="B333" s="70" t="s">
        <v>161</v>
      </c>
      <c r="C333" s="30" t="s">
        <v>27</v>
      </c>
      <c r="D333" s="30">
        <v>1</v>
      </c>
      <c r="E333" s="142"/>
      <c r="F333" s="31">
        <f>E333*D333</f>
        <v>0</v>
      </c>
      <c r="G333" s="15">
        <f>1*10*0.1</f>
        <v>1</v>
      </c>
    </row>
    <row r="334" spans="1:7" s="65" customFormat="1" ht="18" x14ac:dyDescent="0.5">
      <c r="A334" s="21">
        <v>330</v>
      </c>
      <c r="B334" s="70" t="s">
        <v>162</v>
      </c>
      <c r="C334" s="30" t="s">
        <v>27</v>
      </c>
      <c r="D334" s="30">
        <v>1</v>
      </c>
      <c r="E334" s="142"/>
      <c r="F334" s="31">
        <f>E334*D334</f>
        <v>0</v>
      </c>
      <c r="G334" s="15"/>
    </row>
    <row r="335" spans="1:7" s="65" customFormat="1" ht="18" x14ac:dyDescent="0.5">
      <c r="A335" s="16">
        <v>331</v>
      </c>
      <c r="B335" s="70" t="s">
        <v>163</v>
      </c>
      <c r="C335" s="30" t="s">
        <v>27</v>
      </c>
      <c r="D335" s="30">
        <v>0.9</v>
      </c>
      <c r="E335" s="142"/>
      <c r="F335" s="31">
        <f>E335*D335</f>
        <v>0</v>
      </c>
      <c r="G335" s="15"/>
    </row>
    <row r="336" spans="1:7" s="65" customFormat="1" ht="18" x14ac:dyDescent="0.5">
      <c r="A336" s="16">
        <v>332</v>
      </c>
      <c r="B336" s="70" t="s">
        <v>164</v>
      </c>
      <c r="C336" s="30" t="s">
        <v>27</v>
      </c>
      <c r="D336" s="30">
        <v>0.2</v>
      </c>
      <c r="E336" s="142"/>
      <c r="F336" s="31">
        <f>E336*D336</f>
        <v>0</v>
      </c>
      <c r="G336" s="15"/>
    </row>
    <row r="337" spans="1:7" s="65" customFormat="1" ht="18" x14ac:dyDescent="0.5">
      <c r="A337" s="21">
        <v>333</v>
      </c>
      <c r="B337" s="70" t="s">
        <v>165</v>
      </c>
      <c r="C337" s="30" t="s">
        <v>21</v>
      </c>
      <c r="D337" s="30">
        <v>1</v>
      </c>
      <c r="E337" s="142"/>
      <c r="F337" s="31">
        <f>E337*D337</f>
        <v>0</v>
      </c>
      <c r="G337" s="15"/>
    </row>
    <row r="338" spans="1:7" s="65" customFormat="1" ht="18" x14ac:dyDescent="0.5">
      <c r="A338" s="16">
        <v>334</v>
      </c>
      <c r="B338" s="63" t="s">
        <v>166</v>
      </c>
      <c r="C338" s="64" t="s">
        <v>73</v>
      </c>
      <c r="D338" s="64" t="s">
        <v>73</v>
      </c>
      <c r="E338" s="151"/>
      <c r="F338" s="79">
        <f>SUM(F333:F337)</f>
        <v>0</v>
      </c>
      <c r="G338" s="15"/>
    </row>
    <row r="339" spans="1:7" s="65" customFormat="1" ht="18" x14ac:dyDescent="0.5">
      <c r="A339" s="16">
        <v>335</v>
      </c>
      <c r="B339" s="63" t="s">
        <v>264</v>
      </c>
      <c r="C339" s="64" t="s">
        <v>73</v>
      </c>
      <c r="D339" s="64" t="s">
        <v>73</v>
      </c>
      <c r="E339" s="151"/>
      <c r="F339" s="30" t="s">
        <v>73</v>
      </c>
      <c r="G339" s="15"/>
    </row>
    <row r="340" spans="1:7" s="65" customFormat="1" ht="18" x14ac:dyDescent="0.5">
      <c r="A340" s="21">
        <v>336</v>
      </c>
      <c r="B340" s="70" t="s">
        <v>265</v>
      </c>
      <c r="C340" s="30" t="s">
        <v>94</v>
      </c>
      <c r="D340" s="30">
        <v>9.4</v>
      </c>
      <c r="E340" s="142"/>
      <c r="F340" s="31">
        <f>E340*D340</f>
        <v>0</v>
      </c>
      <c r="G340" s="15"/>
    </row>
    <row r="341" spans="1:7" s="65" customFormat="1" ht="36" x14ac:dyDescent="0.5">
      <c r="A341" s="16">
        <v>337</v>
      </c>
      <c r="B341" s="70" t="s">
        <v>266</v>
      </c>
      <c r="C341" s="30" t="s">
        <v>34</v>
      </c>
      <c r="D341" s="30">
        <v>2.2400000000000002</v>
      </c>
      <c r="E341" s="142"/>
      <c r="F341" s="31">
        <f>E341*D341</f>
        <v>0</v>
      </c>
    </row>
    <row r="342" spans="1:7" s="65" customFormat="1" ht="18" x14ac:dyDescent="0.5">
      <c r="A342" s="16">
        <v>338</v>
      </c>
      <c r="B342" s="63" t="s">
        <v>267</v>
      </c>
      <c r="C342" s="64" t="s">
        <v>73</v>
      </c>
      <c r="D342" s="64" t="s">
        <v>73</v>
      </c>
      <c r="E342" s="151"/>
      <c r="F342" s="79">
        <f>SUM(F340:F341)</f>
        <v>0</v>
      </c>
    </row>
    <row r="343" spans="1:7" s="65" customFormat="1" ht="18" x14ac:dyDescent="0.5">
      <c r="A343" s="21">
        <v>339</v>
      </c>
      <c r="B343" s="63" t="s">
        <v>268</v>
      </c>
      <c r="C343" s="64" t="s">
        <v>73</v>
      </c>
      <c r="D343" s="64" t="s">
        <v>73</v>
      </c>
      <c r="E343" s="151"/>
      <c r="F343" s="79">
        <f>F342+F338+F330+F316+F312+F301</f>
        <v>0</v>
      </c>
    </row>
    <row r="344" spans="1:7" s="65" customFormat="1" ht="18" x14ac:dyDescent="0.5">
      <c r="A344" s="16">
        <v>340</v>
      </c>
      <c r="B344" s="63" t="s">
        <v>73</v>
      </c>
      <c r="C344" s="64" t="s">
        <v>73</v>
      </c>
      <c r="D344" s="64" t="s">
        <v>73</v>
      </c>
      <c r="E344" s="151"/>
      <c r="F344" s="30" t="s">
        <v>73</v>
      </c>
    </row>
    <row r="345" spans="1:7" s="65" customFormat="1" ht="18" x14ac:dyDescent="0.5">
      <c r="A345" s="16">
        <v>341</v>
      </c>
      <c r="B345" s="63" t="s">
        <v>110</v>
      </c>
      <c r="C345" s="64" t="s">
        <v>73</v>
      </c>
      <c r="D345" s="64" t="s">
        <v>73</v>
      </c>
      <c r="E345" s="151"/>
      <c r="F345" s="30" t="s">
        <v>73</v>
      </c>
    </row>
    <row r="346" spans="1:7" s="65" customFormat="1" ht="18" x14ac:dyDescent="0.5">
      <c r="A346" s="21">
        <v>342</v>
      </c>
      <c r="B346" s="63" t="s">
        <v>269</v>
      </c>
      <c r="C346" s="64" t="s">
        <v>73</v>
      </c>
      <c r="D346" s="64" t="s">
        <v>73</v>
      </c>
      <c r="E346" s="151"/>
      <c r="F346" s="30" t="s">
        <v>73</v>
      </c>
    </row>
    <row r="347" spans="1:7" s="65" customFormat="1" ht="18" x14ac:dyDescent="0.5">
      <c r="A347" s="16">
        <v>343</v>
      </c>
      <c r="B347" s="70" t="s">
        <v>88</v>
      </c>
      <c r="C347" s="30" t="s">
        <v>89</v>
      </c>
      <c r="D347" s="30">
        <v>0.42</v>
      </c>
      <c r="E347" s="142"/>
      <c r="F347" s="31">
        <f t="shared" ref="F347:F353" si="17">E347*D347</f>
        <v>0</v>
      </c>
    </row>
    <row r="348" spans="1:7" s="65" customFormat="1" ht="18" x14ac:dyDescent="0.5">
      <c r="A348" s="16">
        <v>344</v>
      </c>
      <c r="B348" s="70" t="s">
        <v>90</v>
      </c>
      <c r="C348" s="30" t="s">
        <v>89</v>
      </c>
      <c r="D348" s="30">
        <v>1</v>
      </c>
      <c r="E348" s="142"/>
      <c r="F348" s="31">
        <f t="shared" si="17"/>
        <v>0</v>
      </c>
    </row>
    <row r="349" spans="1:7" s="65" customFormat="1" ht="18" x14ac:dyDescent="0.5">
      <c r="A349" s="21">
        <v>345</v>
      </c>
      <c r="B349" s="70" t="s">
        <v>112</v>
      </c>
      <c r="C349" s="30" t="s">
        <v>92</v>
      </c>
      <c r="D349" s="30">
        <v>1</v>
      </c>
      <c r="E349" s="142"/>
      <c r="F349" s="31">
        <f t="shared" si="17"/>
        <v>0</v>
      </c>
    </row>
    <row r="350" spans="1:7" s="65" customFormat="1" ht="18" x14ac:dyDescent="0.5">
      <c r="A350" s="16">
        <v>346</v>
      </c>
      <c r="B350" s="70" t="s">
        <v>113</v>
      </c>
      <c r="C350" s="30" t="s">
        <v>94</v>
      </c>
      <c r="D350" s="30">
        <v>20.6</v>
      </c>
      <c r="E350" s="142"/>
      <c r="F350" s="31">
        <f t="shared" si="17"/>
        <v>0</v>
      </c>
    </row>
    <row r="351" spans="1:7" s="65" customFormat="1" ht="18" x14ac:dyDescent="0.5">
      <c r="A351" s="16">
        <v>347</v>
      </c>
      <c r="B351" s="70" t="s">
        <v>114</v>
      </c>
      <c r="C351" s="30" t="s">
        <v>94</v>
      </c>
      <c r="D351" s="30">
        <v>31.8</v>
      </c>
      <c r="E351" s="142"/>
      <c r="F351" s="31">
        <f t="shared" si="17"/>
        <v>0</v>
      </c>
    </row>
    <row r="352" spans="1:7" s="65" customFormat="1" ht="18" x14ac:dyDescent="0.5">
      <c r="A352" s="21">
        <v>348</v>
      </c>
      <c r="B352" s="70" t="s">
        <v>115</v>
      </c>
      <c r="C352" s="30" t="s">
        <v>94</v>
      </c>
      <c r="D352" s="30">
        <v>20</v>
      </c>
      <c r="E352" s="142"/>
      <c r="F352" s="31">
        <f t="shared" si="17"/>
        <v>0</v>
      </c>
    </row>
    <row r="353" spans="1:10" s="65" customFormat="1" ht="36" x14ac:dyDescent="0.5">
      <c r="A353" s="16">
        <v>349</v>
      </c>
      <c r="B353" s="70" t="s">
        <v>116</v>
      </c>
      <c r="C353" s="30" t="s">
        <v>16</v>
      </c>
      <c r="D353" s="30">
        <v>1</v>
      </c>
      <c r="E353" s="142"/>
      <c r="F353" s="31">
        <f t="shared" si="17"/>
        <v>0</v>
      </c>
    </row>
    <row r="354" spans="1:10" s="65" customFormat="1" ht="18" x14ac:dyDescent="0.5">
      <c r="A354" s="16">
        <v>350</v>
      </c>
      <c r="B354" s="63" t="s">
        <v>270</v>
      </c>
      <c r="C354" s="64" t="s">
        <v>73</v>
      </c>
      <c r="D354" s="64" t="s">
        <v>73</v>
      </c>
      <c r="E354" s="151"/>
      <c r="F354" s="79">
        <f>SUM(F347:F353)</f>
        <v>0</v>
      </c>
    </row>
    <row r="355" spans="1:10" s="65" customFormat="1" ht="18" x14ac:dyDescent="0.5">
      <c r="A355" s="21">
        <v>351</v>
      </c>
      <c r="B355" s="63" t="s">
        <v>271</v>
      </c>
      <c r="C355" s="64" t="s">
        <v>73</v>
      </c>
      <c r="D355" s="64" t="s">
        <v>73</v>
      </c>
      <c r="E355" s="151"/>
      <c r="F355" s="79">
        <f>F354</f>
        <v>0</v>
      </c>
    </row>
    <row r="356" spans="1:10" s="65" customFormat="1" ht="18" x14ac:dyDescent="0.5">
      <c r="A356" s="16">
        <v>352</v>
      </c>
      <c r="B356" s="67" t="s">
        <v>272</v>
      </c>
      <c r="C356" s="68" t="s">
        <v>73</v>
      </c>
      <c r="D356" s="68" t="s">
        <v>73</v>
      </c>
      <c r="E356" s="152"/>
      <c r="F356" s="69">
        <f>+F355+F343</f>
        <v>0</v>
      </c>
    </row>
    <row r="357" spans="1:10" s="65" customFormat="1" ht="96" customHeight="1" x14ac:dyDescent="0.5">
      <c r="A357" s="16">
        <v>353</v>
      </c>
      <c r="B357" s="80" t="s">
        <v>273</v>
      </c>
      <c r="C357" s="55"/>
      <c r="D357" s="56">
        <v>1</v>
      </c>
      <c r="E357" s="148"/>
      <c r="F357" s="82">
        <f>F356*D357</f>
        <v>0</v>
      </c>
    </row>
    <row r="358" spans="1:10" s="65" customFormat="1" ht="54" customHeight="1" x14ac:dyDescent="0.5">
      <c r="A358" s="21">
        <v>354</v>
      </c>
      <c r="B358" s="80" t="s">
        <v>119</v>
      </c>
      <c r="C358" s="55"/>
      <c r="D358" s="56"/>
      <c r="E358" s="148"/>
      <c r="F358" s="82">
        <f>F357*18/100</f>
        <v>0</v>
      </c>
    </row>
    <row r="359" spans="1:10" s="65" customFormat="1" ht="116.4" customHeight="1" x14ac:dyDescent="0.5">
      <c r="A359" s="16">
        <v>355</v>
      </c>
      <c r="B359" s="80" t="s">
        <v>274</v>
      </c>
      <c r="C359" s="55"/>
      <c r="D359" s="56"/>
      <c r="E359" s="148"/>
      <c r="F359" s="82">
        <f>F357+F358</f>
        <v>0</v>
      </c>
    </row>
    <row r="360" spans="1:10" ht="18" x14ac:dyDescent="0.5">
      <c r="A360" s="16">
        <v>356</v>
      </c>
      <c r="B360" s="8" t="s">
        <v>275</v>
      </c>
      <c r="C360" s="58"/>
      <c r="D360" s="59"/>
      <c r="E360" s="149"/>
      <c r="F360" s="58"/>
    </row>
    <row r="361" spans="1:10" ht="18" x14ac:dyDescent="0.5">
      <c r="A361" s="21">
        <v>357</v>
      </c>
      <c r="B361" s="60" t="s">
        <v>122</v>
      </c>
      <c r="C361" s="61" t="s">
        <v>3</v>
      </c>
      <c r="D361" s="62" t="s">
        <v>123</v>
      </c>
      <c r="E361" s="150"/>
      <c r="F361" s="61" t="s">
        <v>124</v>
      </c>
    </row>
    <row r="362" spans="1:10" s="121" customFormat="1" ht="27.6" x14ac:dyDescent="0.5">
      <c r="A362" s="16">
        <v>358</v>
      </c>
      <c r="B362" s="71" t="s">
        <v>276</v>
      </c>
      <c r="C362" s="87" t="s">
        <v>23</v>
      </c>
      <c r="D362" s="88">
        <v>4</v>
      </c>
      <c r="E362" s="3"/>
      <c r="F362" s="89">
        <f>D362*E362</f>
        <v>0</v>
      </c>
    </row>
    <row r="363" spans="1:10" s="65" customFormat="1" ht="41.4" x14ac:dyDescent="0.5">
      <c r="A363" s="16">
        <v>359</v>
      </c>
      <c r="B363" s="90" t="s">
        <v>277</v>
      </c>
      <c r="C363" s="91" t="s">
        <v>23</v>
      </c>
      <c r="D363" s="92">
        <v>2</v>
      </c>
      <c r="E363" s="4"/>
      <c r="F363" s="89">
        <f>D363*E363</f>
        <v>0</v>
      </c>
      <c r="J363" s="122"/>
    </row>
    <row r="364" spans="1:10" s="15" customFormat="1" ht="22.95" customHeight="1" x14ac:dyDescent="0.5">
      <c r="A364" s="21">
        <v>360</v>
      </c>
      <c r="B364" s="63" t="s">
        <v>127</v>
      </c>
      <c r="C364" s="93" t="s">
        <v>73</v>
      </c>
      <c r="D364" s="94"/>
      <c r="E364" s="151"/>
      <c r="F364" s="79">
        <f>SUM(F363:F363)</f>
        <v>0</v>
      </c>
    </row>
    <row r="365" spans="1:10" s="15" customFormat="1" ht="34.5" customHeight="1" x14ac:dyDescent="0.5">
      <c r="A365" s="16">
        <v>361</v>
      </c>
      <c r="B365" s="63" t="s">
        <v>278</v>
      </c>
      <c r="C365" s="64"/>
      <c r="D365" s="64"/>
      <c r="E365" s="151"/>
      <c r="F365" s="64"/>
    </row>
    <row r="366" spans="1:10" s="65" customFormat="1" ht="18" x14ac:dyDescent="0.5">
      <c r="A366" s="16">
        <v>362</v>
      </c>
      <c r="B366" s="71" t="s">
        <v>279</v>
      </c>
      <c r="C366" s="87" t="s">
        <v>280</v>
      </c>
      <c r="D366" s="123">
        <v>1</v>
      </c>
      <c r="E366" s="5"/>
      <c r="F366" s="124">
        <f t="shared" ref="F366:F397" si="18">D366*E366</f>
        <v>0</v>
      </c>
    </row>
    <row r="367" spans="1:10" s="65" customFormat="1" ht="18" x14ac:dyDescent="0.5">
      <c r="A367" s="21">
        <v>363</v>
      </c>
      <c r="B367" s="71" t="s">
        <v>281</v>
      </c>
      <c r="C367" s="87" t="s">
        <v>27</v>
      </c>
      <c r="D367" s="123">
        <f>12.8*(13-5.4)*0.8</f>
        <v>77.824000000000012</v>
      </c>
      <c r="E367" s="5"/>
      <c r="F367" s="124">
        <f t="shared" si="18"/>
        <v>0</v>
      </c>
    </row>
    <row r="368" spans="1:10" s="65" customFormat="1" ht="18" customHeight="1" x14ac:dyDescent="0.5">
      <c r="A368" s="16">
        <v>364</v>
      </c>
      <c r="B368" s="71" t="s">
        <v>282</v>
      </c>
      <c r="C368" s="87" t="s">
        <v>27</v>
      </c>
      <c r="D368" s="123">
        <f>((13-5.4)*5.2)*3.9</f>
        <v>154.12799999999999</v>
      </c>
      <c r="E368" s="5"/>
      <c r="F368" s="124">
        <f t="shared" si="18"/>
        <v>0</v>
      </c>
    </row>
    <row r="369" spans="1:6" s="65" customFormat="1" ht="18" x14ac:dyDescent="0.5">
      <c r="A369" s="16">
        <v>365</v>
      </c>
      <c r="B369" s="71" t="s">
        <v>283</v>
      </c>
      <c r="C369" s="87" t="s">
        <v>27</v>
      </c>
      <c r="D369" s="123">
        <f>((12-5.4)+4.2)*2*0.5*3.9</f>
        <v>42.120000000000005</v>
      </c>
      <c r="E369" s="5"/>
      <c r="F369" s="124">
        <f t="shared" si="18"/>
        <v>0</v>
      </c>
    </row>
    <row r="370" spans="1:6" s="65" customFormat="1" ht="18" x14ac:dyDescent="0.5">
      <c r="A370" s="21">
        <v>366</v>
      </c>
      <c r="B370" s="71" t="s">
        <v>284</v>
      </c>
      <c r="C370" s="87" t="s">
        <v>27</v>
      </c>
      <c r="D370" s="123">
        <f>D367+D368-D369</f>
        <v>189.83199999999999</v>
      </c>
      <c r="E370" s="5"/>
      <c r="F370" s="124">
        <f t="shared" si="18"/>
        <v>0</v>
      </c>
    </row>
    <row r="371" spans="1:6" s="65" customFormat="1" ht="18" x14ac:dyDescent="0.5">
      <c r="A371" s="16">
        <v>367</v>
      </c>
      <c r="B371" s="71" t="s">
        <v>285</v>
      </c>
      <c r="C371" s="87" t="s">
        <v>27</v>
      </c>
      <c r="D371" s="123">
        <f>(3.6+(13.2-5.4))*2*0.05*0.6</f>
        <v>0.68399999999999994</v>
      </c>
      <c r="E371" s="5"/>
      <c r="F371" s="124">
        <f t="shared" si="18"/>
        <v>0</v>
      </c>
    </row>
    <row r="372" spans="1:6" s="65" customFormat="1" ht="27.6" x14ac:dyDescent="0.5">
      <c r="A372" s="16">
        <v>368</v>
      </c>
      <c r="B372" s="71" t="s">
        <v>286</v>
      </c>
      <c r="C372" s="87" t="s">
        <v>27</v>
      </c>
      <c r="D372" s="123">
        <f>((12.4-5.4)+3.8)*2*3.65*0.4</f>
        <v>31.536000000000001</v>
      </c>
      <c r="E372" s="5"/>
      <c r="F372" s="124">
        <f t="shared" si="18"/>
        <v>0</v>
      </c>
    </row>
    <row r="373" spans="1:6" s="65" customFormat="1" ht="18" x14ac:dyDescent="0.5">
      <c r="A373" s="21">
        <v>369</v>
      </c>
      <c r="B373" s="71" t="s">
        <v>287</v>
      </c>
      <c r="C373" s="87" t="s">
        <v>27</v>
      </c>
      <c r="D373" s="123">
        <f>D371/0.5*0.4</f>
        <v>0.54720000000000002</v>
      </c>
      <c r="E373" s="5"/>
      <c r="F373" s="124">
        <f t="shared" si="18"/>
        <v>0</v>
      </c>
    </row>
    <row r="374" spans="1:6" s="65" customFormat="1" ht="18" x14ac:dyDescent="0.5">
      <c r="A374" s="16">
        <v>370</v>
      </c>
      <c r="B374" s="71" t="s">
        <v>288</v>
      </c>
      <c r="C374" s="87" t="s">
        <v>27</v>
      </c>
      <c r="D374" s="123">
        <f>((12-5.4)+3.8)*2*0.2*0.25+3.8*3*0.2*0.25</f>
        <v>1.6099999999999999</v>
      </c>
      <c r="E374" s="5"/>
      <c r="F374" s="124">
        <f t="shared" si="18"/>
        <v>0</v>
      </c>
    </row>
    <row r="375" spans="1:6" s="65" customFormat="1" ht="18" x14ac:dyDescent="0.5">
      <c r="A375" s="16">
        <v>371</v>
      </c>
      <c r="B375" s="71" t="s">
        <v>289</v>
      </c>
      <c r="C375" s="87" t="s">
        <v>34</v>
      </c>
      <c r="D375" s="123">
        <f>((11.6-5.4)+3.8)*2*3.85</f>
        <v>77</v>
      </c>
      <c r="E375" s="5"/>
      <c r="F375" s="124">
        <f t="shared" si="18"/>
        <v>0</v>
      </c>
    </row>
    <row r="376" spans="1:6" s="65" customFormat="1" ht="18" x14ac:dyDescent="0.5">
      <c r="A376" s="21">
        <v>372</v>
      </c>
      <c r="B376" s="71" t="s">
        <v>290</v>
      </c>
      <c r="C376" s="87" t="s">
        <v>27</v>
      </c>
      <c r="D376" s="123">
        <f>((11.6-5.4)*3.8)*0.3</f>
        <v>7.0679999999999987</v>
      </c>
      <c r="E376" s="5"/>
      <c r="F376" s="124">
        <f t="shared" si="18"/>
        <v>0</v>
      </c>
    </row>
    <row r="377" spans="1:6" s="65" customFormat="1" ht="18" x14ac:dyDescent="0.5">
      <c r="A377" s="16">
        <v>373</v>
      </c>
      <c r="B377" s="71" t="s">
        <v>291</v>
      </c>
      <c r="C377" s="87" t="s">
        <v>23</v>
      </c>
      <c r="D377" s="123">
        <v>1</v>
      </c>
      <c r="E377" s="5"/>
      <c r="F377" s="124">
        <f t="shared" si="18"/>
        <v>0</v>
      </c>
    </row>
    <row r="378" spans="1:6" s="65" customFormat="1" ht="18" x14ac:dyDescent="0.5">
      <c r="A378" s="16">
        <v>374</v>
      </c>
      <c r="B378" s="71" t="s">
        <v>292</v>
      </c>
      <c r="C378" s="87" t="s">
        <v>27</v>
      </c>
      <c r="D378" s="123">
        <f>((11-5.4)*4.2)*0.15</f>
        <v>3.528</v>
      </c>
      <c r="E378" s="5"/>
      <c r="F378" s="124">
        <f t="shared" si="18"/>
        <v>0</v>
      </c>
    </row>
    <row r="379" spans="1:6" s="65" customFormat="1" ht="18" x14ac:dyDescent="0.5">
      <c r="A379" s="21">
        <v>375</v>
      </c>
      <c r="B379" s="71" t="s">
        <v>293</v>
      </c>
      <c r="C379" s="87" t="s">
        <v>34</v>
      </c>
      <c r="D379" s="123">
        <f>4.2*1*0.15</f>
        <v>0.63</v>
      </c>
      <c r="E379" s="5"/>
      <c r="F379" s="124">
        <f t="shared" si="18"/>
        <v>0</v>
      </c>
    </row>
    <row r="380" spans="1:6" s="65" customFormat="1" ht="27.6" x14ac:dyDescent="0.5">
      <c r="A380" s="16">
        <v>376</v>
      </c>
      <c r="B380" s="71" t="s">
        <v>294</v>
      </c>
      <c r="C380" s="87" t="s">
        <v>27</v>
      </c>
      <c r="D380" s="123">
        <f>((12.4-5.4)*2+7.08*2+2.4+2.28+1.5*2)*0.6*0.6</f>
        <v>12.902399999999998</v>
      </c>
      <c r="E380" s="5"/>
      <c r="F380" s="124">
        <f t="shared" si="18"/>
        <v>0</v>
      </c>
    </row>
    <row r="381" spans="1:6" s="65" customFormat="1" ht="18" x14ac:dyDescent="0.5">
      <c r="A381" s="16">
        <v>377</v>
      </c>
      <c r="B381" s="71" t="s">
        <v>295</v>
      </c>
      <c r="C381" s="87" t="s">
        <v>27</v>
      </c>
      <c r="D381" s="123">
        <f>D380/0.6/0.6*0.05*0.4</f>
        <v>0.71679999999999999</v>
      </c>
      <c r="E381" s="5"/>
      <c r="F381" s="124">
        <f t="shared" si="18"/>
        <v>0</v>
      </c>
    </row>
    <row r="382" spans="1:6" s="65" customFormat="1" ht="18" x14ac:dyDescent="0.5">
      <c r="A382" s="21">
        <v>378</v>
      </c>
      <c r="B382" s="71" t="s">
        <v>296</v>
      </c>
      <c r="C382" s="87" t="s">
        <v>27</v>
      </c>
      <c r="D382" s="123">
        <f>D380/0.6/0.7*0.4*0.6</f>
        <v>7.3727999999999998</v>
      </c>
      <c r="E382" s="5"/>
      <c r="F382" s="124">
        <f t="shared" si="18"/>
        <v>0</v>
      </c>
    </row>
    <row r="383" spans="1:6" s="65" customFormat="1" ht="18" x14ac:dyDescent="0.5">
      <c r="A383" s="16">
        <v>379</v>
      </c>
      <c r="B383" s="71" t="s">
        <v>287</v>
      </c>
      <c r="C383" s="87" t="s">
        <v>27</v>
      </c>
      <c r="D383" s="123">
        <f>D380/0.6/0.6*0.4*0.05</f>
        <v>0.71679999999999999</v>
      </c>
      <c r="E383" s="5"/>
      <c r="F383" s="124">
        <f t="shared" si="18"/>
        <v>0</v>
      </c>
    </row>
    <row r="384" spans="1:6" s="65" customFormat="1" ht="18" x14ac:dyDescent="0.5">
      <c r="A384" s="16">
        <v>380</v>
      </c>
      <c r="B384" s="71" t="s">
        <v>297</v>
      </c>
      <c r="C384" s="87" t="s">
        <v>298</v>
      </c>
      <c r="D384" s="123">
        <f>D380/0.6/0.6+((11-5.4)*3+3.6*4)</f>
        <v>67.039999999999992</v>
      </c>
      <c r="E384" s="5"/>
      <c r="F384" s="124">
        <f t="shared" si="18"/>
        <v>0</v>
      </c>
    </row>
    <row r="385" spans="1:6" s="65" customFormat="1" ht="18" x14ac:dyDescent="0.5">
      <c r="A385" s="21">
        <v>381</v>
      </c>
      <c r="B385" s="71" t="s">
        <v>299</v>
      </c>
      <c r="C385" s="87" t="s">
        <v>27</v>
      </c>
      <c r="D385" s="123">
        <f>0.7*0.7*4*0.3+0.2*0.2*4*6.5</f>
        <v>1.6280000000000001</v>
      </c>
      <c r="E385" s="5"/>
      <c r="F385" s="124">
        <f t="shared" si="18"/>
        <v>0</v>
      </c>
    </row>
    <row r="386" spans="1:6" s="65" customFormat="1" ht="18" x14ac:dyDescent="0.5">
      <c r="A386" s="16">
        <v>382</v>
      </c>
      <c r="B386" s="71" t="s">
        <v>300</v>
      </c>
      <c r="C386" s="87" t="s">
        <v>27</v>
      </c>
      <c r="D386" s="123">
        <f>((11-5.4)+3.8)*2*0.2*0.2</f>
        <v>0.752</v>
      </c>
      <c r="E386" s="5"/>
      <c r="F386" s="124">
        <f t="shared" si="18"/>
        <v>0</v>
      </c>
    </row>
    <row r="387" spans="1:6" s="65" customFormat="1" ht="18" x14ac:dyDescent="0.5">
      <c r="A387" s="16">
        <v>383</v>
      </c>
      <c r="B387" s="71" t="s">
        <v>301</v>
      </c>
      <c r="C387" s="87" t="s">
        <v>27</v>
      </c>
      <c r="D387" s="123">
        <f>((D384*2.1+D384*0.5)-((9*2.1*0.9)+(0.8*1.2)))*0.2-0.5</f>
        <v>30.766799999999996</v>
      </c>
      <c r="E387" s="5"/>
      <c r="F387" s="124">
        <f t="shared" si="18"/>
        <v>0</v>
      </c>
    </row>
    <row r="388" spans="1:6" s="65" customFormat="1" ht="18" x14ac:dyDescent="0.5">
      <c r="A388" s="21">
        <v>384</v>
      </c>
      <c r="B388" s="71" t="s">
        <v>302</v>
      </c>
      <c r="C388" s="87" t="s">
        <v>34</v>
      </c>
      <c r="D388" s="123">
        <f>0.9*0.2*7+0.8*0.2</f>
        <v>1.4200000000000004</v>
      </c>
      <c r="E388" s="5"/>
      <c r="F388" s="124">
        <f t="shared" si="18"/>
        <v>0</v>
      </c>
    </row>
    <row r="389" spans="1:6" s="65" customFormat="1" ht="18" x14ac:dyDescent="0.5">
      <c r="A389" s="16">
        <v>385</v>
      </c>
      <c r="B389" s="71" t="s">
        <v>303</v>
      </c>
      <c r="C389" s="87" t="s">
        <v>304</v>
      </c>
      <c r="D389" s="123">
        <f>(5*1+4*4+7)*4.8+(5*(11.6-5.4))+(2.88+3.3)*1</f>
        <v>171.58</v>
      </c>
      <c r="E389" s="5"/>
      <c r="F389" s="124">
        <f t="shared" si="18"/>
        <v>0</v>
      </c>
    </row>
    <row r="390" spans="1:6" s="65" customFormat="1" ht="18" x14ac:dyDescent="0.5">
      <c r="A390" s="16">
        <v>386</v>
      </c>
      <c r="B390" s="71" t="s">
        <v>305</v>
      </c>
      <c r="C390" s="87" t="s">
        <v>34</v>
      </c>
      <c r="D390" s="123">
        <f>5.2*(12-5.4)+3.08*3.1</f>
        <v>43.868000000000002</v>
      </c>
      <c r="E390" s="5"/>
      <c r="F390" s="124">
        <f t="shared" si="18"/>
        <v>0</v>
      </c>
    </row>
    <row r="391" spans="1:6" s="65" customFormat="1" ht="18" x14ac:dyDescent="0.5">
      <c r="A391" s="21">
        <v>387</v>
      </c>
      <c r="B391" s="71" t="s">
        <v>306</v>
      </c>
      <c r="C391" s="87" t="s">
        <v>298</v>
      </c>
      <c r="D391" s="123">
        <f>3.08+(12-5.4)</f>
        <v>9.68</v>
      </c>
      <c r="E391" s="5"/>
      <c r="F391" s="124">
        <f t="shared" si="18"/>
        <v>0</v>
      </c>
    </row>
    <row r="392" spans="1:6" s="65" customFormat="1" ht="18" x14ac:dyDescent="0.5">
      <c r="A392" s="16">
        <v>388</v>
      </c>
      <c r="B392" s="71" t="s">
        <v>307</v>
      </c>
      <c r="C392" s="87" t="s">
        <v>298</v>
      </c>
      <c r="D392" s="123">
        <f>(3.5*2+3.08)+(11.6-5.4+4.8*2)</f>
        <v>25.88</v>
      </c>
      <c r="E392" s="5"/>
      <c r="F392" s="124">
        <f t="shared" si="18"/>
        <v>0</v>
      </c>
    </row>
    <row r="393" spans="1:6" s="65" customFormat="1" ht="18" x14ac:dyDescent="0.5">
      <c r="A393" s="16">
        <v>389</v>
      </c>
      <c r="B393" s="71" t="s">
        <v>308</v>
      </c>
      <c r="C393" s="87" t="s">
        <v>298</v>
      </c>
      <c r="D393" s="123">
        <v>6</v>
      </c>
      <c r="E393" s="5"/>
      <c r="F393" s="124">
        <f t="shared" si="18"/>
        <v>0</v>
      </c>
    </row>
    <row r="394" spans="1:6" s="65" customFormat="1" ht="18" x14ac:dyDescent="0.5">
      <c r="A394" s="21">
        <v>390</v>
      </c>
      <c r="B394" s="71" t="s">
        <v>309</v>
      </c>
      <c r="C394" s="87" t="s">
        <v>34</v>
      </c>
      <c r="D394" s="123">
        <f>D380/0.6/0.6*0.4</f>
        <v>14.335999999999999</v>
      </c>
      <c r="E394" s="5"/>
      <c r="F394" s="124">
        <f t="shared" si="18"/>
        <v>0</v>
      </c>
    </row>
    <row r="395" spans="1:6" s="65" customFormat="1" ht="18" x14ac:dyDescent="0.5">
      <c r="A395" s="16">
        <v>391</v>
      </c>
      <c r="B395" s="71" t="s">
        <v>310</v>
      </c>
      <c r="C395" s="87" t="s">
        <v>34</v>
      </c>
      <c r="D395" s="123">
        <f>D386/0.2/0.2*2.8+((3.8*29)+(10.6-5.4))*2.8*2-0.9*2.1*9-1.2*0.8+D386/0.2+(D380/0.6/0.7-4.1)*0.3</f>
        <v>692.65599999999984</v>
      </c>
      <c r="E395" s="5"/>
      <c r="F395" s="124">
        <f t="shared" si="18"/>
        <v>0</v>
      </c>
    </row>
    <row r="396" spans="1:6" s="65" customFormat="1" ht="18" x14ac:dyDescent="0.5">
      <c r="A396" s="16">
        <v>392</v>
      </c>
      <c r="B396" s="71" t="s">
        <v>311</v>
      </c>
      <c r="C396" s="87" t="s">
        <v>34</v>
      </c>
      <c r="D396" s="123">
        <f>D387/9.2</f>
        <v>3.3442173913043476</v>
      </c>
      <c r="E396" s="5"/>
      <c r="F396" s="124">
        <f t="shared" si="18"/>
        <v>0</v>
      </c>
    </row>
    <row r="397" spans="1:6" s="65" customFormat="1" ht="18" x14ac:dyDescent="0.5">
      <c r="A397" s="21">
        <v>393</v>
      </c>
      <c r="B397" s="71" t="s">
        <v>312</v>
      </c>
      <c r="C397" s="87" t="s">
        <v>280</v>
      </c>
      <c r="D397" s="123">
        <v>1</v>
      </c>
      <c r="E397" s="5"/>
      <c r="F397" s="124">
        <f t="shared" si="18"/>
        <v>0</v>
      </c>
    </row>
    <row r="398" spans="1:6" s="65" customFormat="1" ht="18" x14ac:dyDescent="0.5">
      <c r="A398" s="16">
        <v>394</v>
      </c>
      <c r="B398" s="71" t="s">
        <v>313</v>
      </c>
      <c r="C398" s="87" t="s">
        <v>280</v>
      </c>
      <c r="D398" s="123">
        <v>1</v>
      </c>
      <c r="E398" s="5"/>
      <c r="F398" s="124">
        <f t="shared" ref="F398:F421" si="19">D398*E398</f>
        <v>0</v>
      </c>
    </row>
    <row r="399" spans="1:6" s="65" customFormat="1" ht="18" x14ac:dyDescent="0.5">
      <c r="A399" s="16">
        <v>395</v>
      </c>
      <c r="B399" s="71" t="s">
        <v>314</v>
      </c>
      <c r="C399" s="87" t="s">
        <v>23</v>
      </c>
      <c r="D399" s="123">
        <v>12</v>
      </c>
      <c r="E399" s="5"/>
      <c r="F399" s="124">
        <f t="shared" si="19"/>
        <v>0</v>
      </c>
    </row>
    <row r="400" spans="1:6" s="65" customFormat="1" ht="18" x14ac:dyDescent="0.5">
      <c r="A400" s="21">
        <v>396</v>
      </c>
      <c r="B400" s="71" t="s">
        <v>315</v>
      </c>
      <c r="C400" s="87" t="s">
        <v>304</v>
      </c>
      <c r="D400" s="123">
        <f>D384*2</f>
        <v>134.07999999999998</v>
      </c>
      <c r="E400" s="5"/>
      <c r="F400" s="124">
        <f t="shared" si="19"/>
        <v>0</v>
      </c>
    </row>
    <row r="401" spans="1:6" s="65" customFormat="1" ht="18" x14ac:dyDescent="0.5">
      <c r="A401" s="16">
        <v>397</v>
      </c>
      <c r="B401" s="71" t="s">
        <v>316</v>
      </c>
      <c r="C401" s="87" t="s">
        <v>27</v>
      </c>
      <c r="D401" s="123">
        <f>((13-5.4)*11.88)*0.05</f>
        <v>4.5144000000000002</v>
      </c>
      <c r="E401" s="5"/>
      <c r="F401" s="124">
        <f t="shared" si="19"/>
        <v>0</v>
      </c>
    </row>
    <row r="402" spans="1:6" s="65" customFormat="1" ht="18" x14ac:dyDescent="0.5">
      <c r="A402" s="16">
        <v>398</v>
      </c>
      <c r="B402" s="71" t="s">
        <v>317</v>
      </c>
      <c r="C402" s="87" t="s">
        <v>34</v>
      </c>
      <c r="D402" s="123">
        <f>((9.4-5.4)*3.6)</f>
        <v>14.4</v>
      </c>
      <c r="E402" s="5"/>
      <c r="F402" s="124">
        <f t="shared" si="19"/>
        <v>0</v>
      </c>
    </row>
    <row r="403" spans="1:6" s="65" customFormat="1" ht="18" x14ac:dyDescent="0.5">
      <c r="A403" s="21">
        <v>399</v>
      </c>
      <c r="B403" s="71" t="s">
        <v>318</v>
      </c>
      <c r="C403" s="87" t="s">
        <v>34</v>
      </c>
      <c r="D403" s="123">
        <f>D401/0.05-D402</f>
        <v>75.887999999999991</v>
      </c>
      <c r="E403" s="5"/>
      <c r="F403" s="124">
        <f t="shared" si="19"/>
        <v>0</v>
      </c>
    </row>
    <row r="404" spans="1:6" s="65" customFormat="1" ht="18" x14ac:dyDescent="0.5">
      <c r="A404" s="16">
        <v>400</v>
      </c>
      <c r="B404" s="71" t="s">
        <v>319</v>
      </c>
      <c r="C404" s="87" t="s">
        <v>23</v>
      </c>
      <c r="D404" s="123">
        <v>6</v>
      </c>
      <c r="E404" s="5"/>
      <c r="F404" s="124">
        <f t="shared" si="19"/>
        <v>0</v>
      </c>
    </row>
    <row r="405" spans="1:6" s="65" customFormat="1" ht="18" x14ac:dyDescent="0.5">
      <c r="A405" s="16">
        <v>401</v>
      </c>
      <c r="B405" s="71" t="s">
        <v>320</v>
      </c>
      <c r="C405" s="87" t="s">
        <v>23</v>
      </c>
      <c r="D405" s="123">
        <v>2</v>
      </c>
      <c r="E405" s="5"/>
      <c r="F405" s="124">
        <f t="shared" si="19"/>
        <v>0</v>
      </c>
    </row>
    <row r="406" spans="1:6" s="65" customFormat="1" ht="18" x14ac:dyDescent="0.5">
      <c r="A406" s="21">
        <v>402</v>
      </c>
      <c r="B406" s="71" t="s">
        <v>321</v>
      </c>
      <c r="C406" s="87" t="s">
        <v>34</v>
      </c>
      <c r="D406" s="123">
        <f>6.29*2</f>
        <v>12.58</v>
      </c>
      <c r="E406" s="5"/>
      <c r="F406" s="124">
        <f t="shared" si="19"/>
        <v>0</v>
      </c>
    </row>
    <row r="407" spans="1:6" s="65" customFormat="1" ht="18" x14ac:dyDescent="0.5">
      <c r="A407" s="16">
        <v>403</v>
      </c>
      <c r="B407" s="71" t="s">
        <v>322</v>
      </c>
      <c r="C407" s="87" t="s">
        <v>34</v>
      </c>
      <c r="D407" s="123">
        <f>D389*0.2+D391*0.45+D392*0.15</f>
        <v>42.554000000000002</v>
      </c>
      <c r="E407" s="5"/>
      <c r="F407" s="124">
        <f t="shared" si="19"/>
        <v>0</v>
      </c>
    </row>
    <row r="408" spans="1:6" s="65" customFormat="1" ht="18" x14ac:dyDescent="0.5">
      <c r="A408" s="16">
        <v>404</v>
      </c>
      <c r="B408" s="71" t="s">
        <v>323</v>
      </c>
      <c r="C408" s="87" t="s">
        <v>34</v>
      </c>
      <c r="D408" s="123">
        <f>D395</f>
        <v>692.65599999999984</v>
      </c>
      <c r="E408" s="5"/>
      <c r="F408" s="124">
        <f t="shared" si="19"/>
        <v>0</v>
      </c>
    </row>
    <row r="409" spans="1:6" s="65" customFormat="1" ht="27.6" x14ac:dyDescent="0.5">
      <c r="A409" s="21">
        <v>405</v>
      </c>
      <c r="B409" s="71" t="s">
        <v>324</v>
      </c>
      <c r="C409" s="87" t="s">
        <v>23</v>
      </c>
      <c r="D409" s="123">
        <v>9</v>
      </c>
      <c r="E409" s="5"/>
      <c r="F409" s="124">
        <f t="shared" si="19"/>
        <v>0</v>
      </c>
    </row>
    <row r="410" spans="1:6" s="65" customFormat="1" ht="27.6" x14ac:dyDescent="0.5">
      <c r="A410" s="16">
        <v>406</v>
      </c>
      <c r="B410" s="71" t="s">
        <v>325</v>
      </c>
      <c r="C410" s="87" t="s">
        <v>23</v>
      </c>
      <c r="D410" s="123">
        <v>1</v>
      </c>
      <c r="E410" s="5"/>
      <c r="F410" s="124">
        <f t="shared" si="19"/>
        <v>0</v>
      </c>
    </row>
    <row r="411" spans="1:6" s="65" customFormat="1" ht="18" x14ac:dyDescent="0.5">
      <c r="A411" s="16">
        <v>407</v>
      </c>
      <c r="B411" s="71" t="s">
        <v>326</v>
      </c>
      <c r="C411" s="87" t="s">
        <v>27</v>
      </c>
      <c r="D411" s="123">
        <f>6.5*0.15*0.5</f>
        <v>0.48749999999999999</v>
      </c>
      <c r="E411" s="5"/>
      <c r="F411" s="124">
        <f t="shared" si="19"/>
        <v>0</v>
      </c>
    </row>
    <row r="412" spans="1:6" s="65" customFormat="1" ht="18" x14ac:dyDescent="0.5">
      <c r="A412" s="21">
        <v>408</v>
      </c>
      <c r="B412" s="71" t="s">
        <v>327</v>
      </c>
      <c r="C412" s="87" t="s">
        <v>298</v>
      </c>
      <c r="D412" s="123">
        <f>6.5</f>
        <v>6.5</v>
      </c>
      <c r="E412" s="5"/>
      <c r="F412" s="124">
        <f t="shared" si="19"/>
        <v>0</v>
      </c>
    </row>
    <row r="413" spans="1:6" s="65" customFormat="1" ht="27.6" x14ac:dyDescent="0.5">
      <c r="A413" s="16">
        <v>409</v>
      </c>
      <c r="B413" s="71" t="s">
        <v>328</v>
      </c>
      <c r="C413" s="87" t="s">
        <v>298</v>
      </c>
      <c r="D413" s="123">
        <f>48/8</f>
        <v>6</v>
      </c>
      <c r="E413" s="5"/>
      <c r="F413" s="124">
        <f t="shared" si="19"/>
        <v>0</v>
      </c>
    </row>
    <row r="414" spans="1:6" s="65" customFormat="1" ht="18" x14ac:dyDescent="0.5">
      <c r="A414" s="16">
        <v>410</v>
      </c>
      <c r="B414" s="71" t="s">
        <v>329</v>
      </c>
      <c r="C414" s="87" t="s">
        <v>330</v>
      </c>
      <c r="D414" s="123">
        <v>10</v>
      </c>
      <c r="E414" s="5"/>
      <c r="F414" s="124">
        <f t="shared" si="19"/>
        <v>0</v>
      </c>
    </row>
    <row r="415" spans="1:6" s="65" customFormat="1" ht="18" x14ac:dyDescent="0.5">
      <c r="A415" s="21">
        <v>411</v>
      </c>
      <c r="B415" s="71" t="s">
        <v>331</v>
      </c>
      <c r="C415" s="87" t="s">
        <v>23</v>
      </c>
      <c r="D415" s="123">
        <v>2</v>
      </c>
      <c r="E415" s="5"/>
      <c r="F415" s="124">
        <f t="shared" si="19"/>
        <v>0</v>
      </c>
    </row>
    <row r="416" spans="1:6" s="65" customFormat="1" ht="18" x14ac:dyDescent="0.5">
      <c r="A416" s="16">
        <v>412</v>
      </c>
      <c r="B416" s="71" t="s">
        <v>332</v>
      </c>
      <c r="C416" s="87" t="s">
        <v>27</v>
      </c>
      <c r="D416" s="123">
        <f>1.1*1.1*0.01*2</f>
        <v>2.4200000000000003E-2</v>
      </c>
      <c r="E416" s="5"/>
      <c r="F416" s="124">
        <f t="shared" si="19"/>
        <v>0</v>
      </c>
    </row>
    <row r="417" spans="1:6" s="65" customFormat="1" ht="18" x14ac:dyDescent="0.5">
      <c r="A417" s="16">
        <v>413</v>
      </c>
      <c r="B417" s="71" t="s">
        <v>333</v>
      </c>
      <c r="C417" s="87" t="s">
        <v>23</v>
      </c>
      <c r="D417" s="123">
        <v>1</v>
      </c>
      <c r="E417" s="5"/>
      <c r="F417" s="124">
        <f t="shared" si="19"/>
        <v>0</v>
      </c>
    </row>
    <row r="418" spans="1:6" s="65" customFormat="1" ht="18" x14ac:dyDescent="0.5">
      <c r="A418" s="21">
        <v>414</v>
      </c>
      <c r="B418" s="71" t="s">
        <v>334</v>
      </c>
      <c r="C418" s="87" t="s">
        <v>34</v>
      </c>
      <c r="D418" s="123">
        <f>0.9*0.9</f>
        <v>0.81</v>
      </c>
      <c r="E418" s="5"/>
      <c r="F418" s="124">
        <f t="shared" si="19"/>
        <v>0</v>
      </c>
    </row>
    <row r="419" spans="1:6" s="65" customFormat="1" ht="18" x14ac:dyDescent="0.5">
      <c r="A419" s="16">
        <v>415</v>
      </c>
      <c r="B419" s="71" t="s">
        <v>335</v>
      </c>
      <c r="C419" s="87" t="s">
        <v>34</v>
      </c>
      <c r="D419" s="123">
        <f>0.9*3*2+(1.1+1.1)*2*2</f>
        <v>14.200000000000001</v>
      </c>
      <c r="E419" s="5"/>
      <c r="F419" s="124">
        <f t="shared" si="19"/>
        <v>0</v>
      </c>
    </row>
    <row r="420" spans="1:6" s="65" customFormat="1" ht="18" x14ac:dyDescent="0.5">
      <c r="A420" s="16">
        <v>416</v>
      </c>
      <c r="B420" s="71" t="s">
        <v>336</v>
      </c>
      <c r="C420" s="87" t="s">
        <v>27</v>
      </c>
      <c r="D420" s="123">
        <f>(12.88*2+2*(12-5.4)*2/2)*0.45</f>
        <v>17.532</v>
      </c>
      <c r="E420" s="5"/>
      <c r="F420" s="124">
        <f t="shared" si="19"/>
        <v>0</v>
      </c>
    </row>
    <row r="421" spans="1:6" s="65" customFormat="1" ht="41.4" x14ac:dyDescent="0.5">
      <c r="A421" s="21">
        <v>417</v>
      </c>
      <c r="B421" s="71" t="s">
        <v>337</v>
      </c>
      <c r="C421" s="87" t="s">
        <v>338</v>
      </c>
      <c r="D421" s="123">
        <v>2</v>
      </c>
      <c r="E421" s="5"/>
      <c r="F421" s="124">
        <f t="shared" si="19"/>
        <v>0</v>
      </c>
    </row>
    <row r="422" spans="1:6" s="15" customFormat="1" ht="36" x14ac:dyDescent="0.5">
      <c r="A422" s="16">
        <v>418</v>
      </c>
      <c r="B422" s="63" t="s">
        <v>339</v>
      </c>
      <c r="C422" s="93" t="s">
        <v>73</v>
      </c>
      <c r="D422" s="94"/>
      <c r="E422" s="151"/>
      <c r="F422" s="79">
        <f>SUM(F366:F421)</f>
        <v>0</v>
      </c>
    </row>
    <row r="423" spans="1:6" s="15" customFormat="1" ht="18" x14ac:dyDescent="0.5">
      <c r="A423" s="16">
        <v>419</v>
      </c>
      <c r="B423" s="95" t="s">
        <v>340</v>
      </c>
      <c r="C423" s="96" t="s">
        <v>73</v>
      </c>
      <c r="D423" s="97" t="s">
        <v>73</v>
      </c>
      <c r="E423" s="157"/>
      <c r="F423" s="99">
        <f>F422+F364</f>
        <v>0</v>
      </c>
    </row>
    <row r="424" spans="1:6" s="15" customFormat="1" ht="18" x14ac:dyDescent="0.5">
      <c r="A424" s="21">
        <v>420</v>
      </c>
      <c r="B424" s="66" t="s">
        <v>74</v>
      </c>
      <c r="C424" s="76"/>
      <c r="D424" s="77"/>
      <c r="E424" s="155"/>
      <c r="F424" s="51">
        <f>F423*0.18</f>
        <v>0</v>
      </c>
    </row>
    <row r="425" spans="1:6" s="15" customFormat="1" ht="19.2" x14ac:dyDescent="0.5">
      <c r="A425" s="16">
        <v>421</v>
      </c>
      <c r="B425" s="52" t="s">
        <v>341</v>
      </c>
      <c r="C425" s="49"/>
      <c r="D425" s="53"/>
      <c r="E425" s="146"/>
      <c r="F425" s="78">
        <f>F424+F423</f>
        <v>0</v>
      </c>
    </row>
    <row r="426" spans="1:6" ht="18" x14ac:dyDescent="0.5">
      <c r="A426" s="16">
        <v>422</v>
      </c>
      <c r="B426" s="8" t="s">
        <v>342</v>
      </c>
      <c r="C426" s="58"/>
      <c r="D426" s="59"/>
      <c r="E426" s="149"/>
      <c r="F426" s="58"/>
    </row>
    <row r="427" spans="1:6" ht="18" x14ac:dyDescent="0.5">
      <c r="A427" s="21">
        <v>423</v>
      </c>
      <c r="B427" s="60" t="s">
        <v>2</v>
      </c>
      <c r="C427" s="61" t="s">
        <v>3</v>
      </c>
      <c r="D427" s="62" t="s">
        <v>4</v>
      </c>
      <c r="E427" s="150"/>
      <c r="F427" s="61" t="s">
        <v>6</v>
      </c>
    </row>
    <row r="428" spans="1:6" s="15" customFormat="1" ht="18" x14ac:dyDescent="0.5">
      <c r="A428" s="16">
        <v>424</v>
      </c>
      <c r="B428" s="63" t="s">
        <v>104</v>
      </c>
      <c r="C428" s="64" t="s">
        <v>73</v>
      </c>
      <c r="D428" s="64" t="s">
        <v>73</v>
      </c>
      <c r="E428" s="151"/>
      <c r="F428" s="64" t="s">
        <v>73</v>
      </c>
    </row>
    <row r="429" spans="1:6" s="15" customFormat="1" ht="18" x14ac:dyDescent="0.5">
      <c r="A429" s="16">
        <v>425</v>
      </c>
      <c r="B429" s="70" t="s">
        <v>131</v>
      </c>
      <c r="C429" s="30" t="s">
        <v>16</v>
      </c>
      <c r="D429" s="30">
        <v>1</v>
      </c>
      <c r="E429" s="142"/>
      <c r="F429" s="31">
        <f>E429*D429</f>
        <v>0</v>
      </c>
    </row>
    <row r="430" spans="1:6" s="15" customFormat="1" ht="18" x14ac:dyDescent="0.5">
      <c r="A430" s="21">
        <v>426</v>
      </c>
      <c r="B430" s="70" t="s">
        <v>132</v>
      </c>
      <c r="C430" s="30" t="s">
        <v>16</v>
      </c>
      <c r="D430" s="30">
        <v>1</v>
      </c>
      <c r="E430" s="142"/>
      <c r="F430" s="31">
        <f>E430*D430</f>
        <v>0</v>
      </c>
    </row>
    <row r="431" spans="1:6" s="15" customFormat="1" ht="18" x14ac:dyDescent="0.5">
      <c r="A431" s="16">
        <v>427</v>
      </c>
      <c r="B431" s="63" t="s">
        <v>133</v>
      </c>
      <c r="C431" s="64" t="s">
        <v>73</v>
      </c>
      <c r="D431" s="64" t="s">
        <v>73</v>
      </c>
      <c r="E431" s="151"/>
      <c r="F431" s="79">
        <f>SUM(F429:F430)</f>
        <v>0</v>
      </c>
    </row>
    <row r="432" spans="1:6" s="15" customFormat="1" ht="18" x14ac:dyDescent="0.5">
      <c r="A432" s="16">
        <v>428</v>
      </c>
      <c r="B432" s="63" t="s">
        <v>134</v>
      </c>
      <c r="C432" s="64" t="s">
        <v>73</v>
      </c>
      <c r="D432" s="64" t="s">
        <v>73</v>
      </c>
      <c r="E432" s="151"/>
      <c r="F432" s="30" t="s">
        <v>73</v>
      </c>
    </row>
    <row r="433" spans="1:6" s="15" customFormat="1" ht="19.8" x14ac:dyDescent="0.5">
      <c r="A433" s="21">
        <v>429</v>
      </c>
      <c r="B433" s="70" t="s">
        <v>135</v>
      </c>
      <c r="C433" s="30" t="s">
        <v>136</v>
      </c>
      <c r="D433" s="30">
        <v>0.73333333333333339</v>
      </c>
      <c r="E433" s="142"/>
      <c r="F433" s="31">
        <f t="shared" ref="F433:F439" si="20">E433*D433</f>
        <v>0</v>
      </c>
    </row>
    <row r="434" spans="1:6" s="15" customFormat="1" ht="19.8" x14ac:dyDescent="0.5">
      <c r="A434" s="16">
        <v>430</v>
      </c>
      <c r="B434" s="70" t="s">
        <v>137</v>
      </c>
      <c r="C434" s="30" t="s">
        <v>136</v>
      </c>
      <c r="D434" s="30">
        <v>2.8800000000000003</v>
      </c>
      <c r="E434" s="142"/>
      <c r="F434" s="31">
        <f t="shared" si="20"/>
        <v>0</v>
      </c>
    </row>
    <row r="435" spans="1:6" s="15" customFormat="1" ht="36" x14ac:dyDescent="0.5">
      <c r="A435" s="16">
        <v>431</v>
      </c>
      <c r="B435" s="70" t="s">
        <v>138</v>
      </c>
      <c r="C435" s="30" t="s">
        <v>139</v>
      </c>
      <c r="D435" s="30">
        <v>9.6</v>
      </c>
      <c r="E435" s="142"/>
      <c r="F435" s="31">
        <f t="shared" si="20"/>
        <v>0</v>
      </c>
    </row>
    <row r="436" spans="1:6" s="15" customFormat="1" ht="19.8" x14ac:dyDescent="0.5">
      <c r="A436" s="21">
        <v>432</v>
      </c>
      <c r="B436" s="70" t="s">
        <v>140</v>
      </c>
      <c r="C436" s="30" t="s">
        <v>136</v>
      </c>
      <c r="D436" s="30">
        <v>0.77333333333333332</v>
      </c>
      <c r="E436" s="142"/>
      <c r="F436" s="31">
        <f t="shared" si="20"/>
        <v>0</v>
      </c>
    </row>
    <row r="437" spans="1:6" s="15" customFormat="1" ht="19.8" x14ac:dyDescent="0.5">
      <c r="A437" s="16">
        <v>433</v>
      </c>
      <c r="B437" s="70" t="s">
        <v>141</v>
      </c>
      <c r="C437" s="30" t="s">
        <v>139</v>
      </c>
      <c r="D437" s="30">
        <v>2.6666666666666665</v>
      </c>
      <c r="E437" s="142"/>
      <c r="F437" s="31">
        <f t="shared" si="20"/>
        <v>0</v>
      </c>
    </row>
    <row r="438" spans="1:6" s="15" customFormat="1" ht="36" x14ac:dyDescent="0.5">
      <c r="A438" s="16">
        <v>434</v>
      </c>
      <c r="B438" s="70" t="s">
        <v>142</v>
      </c>
      <c r="C438" s="30" t="s">
        <v>136</v>
      </c>
      <c r="D438" s="30">
        <v>1.4133333333333333</v>
      </c>
      <c r="E438" s="142"/>
      <c r="F438" s="31">
        <f t="shared" si="20"/>
        <v>0</v>
      </c>
    </row>
    <row r="439" spans="1:6" s="15" customFormat="1" ht="19.8" x14ac:dyDescent="0.5">
      <c r="A439" s="21">
        <v>435</v>
      </c>
      <c r="B439" s="70" t="s">
        <v>143</v>
      </c>
      <c r="C439" s="30" t="s">
        <v>136</v>
      </c>
      <c r="D439" s="30">
        <v>0.17333333333333334</v>
      </c>
      <c r="E439" s="142"/>
      <c r="F439" s="31">
        <f t="shared" si="20"/>
        <v>0</v>
      </c>
    </row>
    <row r="440" spans="1:6" s="15" customFormat="1" ht="18" x14ac:dyDescent="0.5">
      <c r="A440" s="16">
        <v>436</v>
      </c>
      <c r="B440" s="63" t="s">
        <v>144</v>
      </c>
      <c r="C440" s="64" t="s">
        <v>73</v>
      </c>
      <c r="D440" s="64" t="s">
        <v>73</v>
      </c>
      <c r="E440" s="151"/>
      <c r="F440" s="79">
        <f>SUM(F433:F439)</f>
        <v>0</v>
      </c>
    </row>
    <row r="441" spans="1:6" s="15" customFormat="1" ht="18" x14ac:dyDescent="0.5">
      <c r="A441" s="16">
        <v>437</v>
      </c>
      <c r="B441" s="63" t="s">
        <v>145</v>
      </c>
      <c r="C441" s="64" t="s">
        <v>73</v>
      </c>
      <c r="D441" s="64"/>
      <c r="E441" s="151"/>
      <c r="F441" s="30" t="s">
        <v>73</v>
      </c>
    </row>
    <row r="442" spans="1:6" s="15" customFormat="1" ht="36" x14ac:dyDescent="0.5">
      <c r="A442" s="21">
        <v>438</v>
      </c>
      <c r="B442" s="70" t="s">
        <v>146</v>
      </c>
      <c r="C442" s="30" t="s">
        <v>139</v>
      </c>
      <c r="D442" s="30">
        <f>1.5*12.4</f>
        <v>18.600000000000001</v>
      </c>
      <c r="E442" s="142"/>
      <c r="F442" s="31">
        <f>E442*D442</f>
        <v>0</v>
      </c>
    </row>
    <row r="443" spans="1:6" s="15" customFormat="1" ht="19.8" x14ac:dyDescent="0.5">
      <c r="A443" s="16">
        <v>439</v>
      </c>
      <c r="B443" s="70" t="s">
        <v>147</v>
      </c>
      <c r="C443" s="30" t="s">
        <v>139</v>
      </c>
      <c r="D443" s="30">
        <f>1.5*12.4</f>
        <v>18.600000000000001</v>
      </c>
      <c r="E443" s="142"/>
      <c r="F443" s="31">
        <f>E443*D443</f>
        <v>0</v>
      </c>
    </row>
    <row r="444" spans="1:6" s="15" customFormat="1" ht="18" x14ac:dyDescent="0.5">
      <c r="A444" s="16">
        <v>440</v>
      </c>
      <c r="B444" s="63" t="s">
        <v>148</v>
      </c>
      <c r="C444" s="64" t="s">
        <v>73</v>
      </c>
      <c r="D444" s="64" t="s">
        <v>73</v>
      </c>
      <c r="E444" s="151"/>
      <c r="F444" s="79">
        <f>SUM(F442:F443)</f>
        <v>0</v>
      </c>
    </row>
    <row r="445" spans="1:6" s="15" customFormat="1" ht="18" x14ac:dyDescent="0.5">
      <c r="A445" s="21">
        <v>441</v>
      </c>
      <c r="B445" s="63" t="s">
        <v>107</v>
      </c>
      <c r="C445" s="64" t="s">
        <v>73</v>
      </c>
      <c r="D445" s="64" t="s">
        <v>73</v>
      </c>
      <c r="E445" s="151"/>
      <c r="F445" s="30" t="s">
        <v>73</v>
      </c>
    </row>
    <row r="446" spans="1:6" s="15" customFormat="1" ht="18" x14ac:dyDescent="0.5">
      <c r="A446" s="16">
        <v>442</v>
      </c>
      <c r="B446" s="70" t="s">
        <v>149</v>
      </c>
      <c r="C446" s="30" t="s">
        <v>21</v>
      </c>
      <c r="D446" s="30">
        <v>1</v>
      </c>
      <c r="E446" s="142"/>
      <c r="F446" s="31">
        <f t="shared" ref="F446:F455" si="21">E446*D446</f>
        <v>0</v>
      </c>
    </row>
    <row r="447" spans="1:6" s="15" customFormat="1" ht="18" x14ac:dyDescent="0.5">
      <c r="A447" s="16">
        <v>443</v>
      </c>
      <c r="B447" s="70" t="s">
        <v>150</v>
      </c>
      <c r="C447" s="30" t="s">
        <v>94</v>
      </c>
      <c r="D447" s="30">
        <v>20</v>
      </c>
      <c r="E447" s="142"/>
      <c r="F447" s="31">
        <f t="shared" si="21"/>
        <v>0</v>
      </c>
    </row>
    <row r="448" spans="1:6" s="15" customFormat="1" ht="18" x14ac:dyDescent="0.5">
      <c r="A448" s="21">
        <v>444</v>
      </c>
      <c r="B448" s="70" t="s">
        <v>151</v>
      </c>
      <c r="C448" s="30" t="s">
        <v>16</v>
      </c>
      <c r="D448" s="30">
        <v>1</v>
      </c>
      <c r="E448" s="142"/>
      <c r="F448" s="31">
        <f t="shared" si="21"/>
        <v>0</v>
      </c>
    </row>
    <row r="449" spans="1:6" s="15" customFormat="1" ht="36" x14ac:dyDescent="0.5">
      <c r="A449" s="16">
        <v>445</v>
      </c>
      <c r="B449" s="70" t="s">
        <v>152</v>
      </c>
      <c r="C449" s="30" t="s">
        <v>92</v>
      </c>
      <c r="D449" s="30">
        <v>4</v>
      </c>
      <c r="E449" s="142"/>
      <c r="F449" s="31">
        <f t="shared" si="21"/>
        <v>0</v>
      </c>
    </row>
    <row r="450" spans="1:6" s="15" customFormat="1" ht="36" x14ac:dyDescent="0.5">
      <c r="A450" s="16">
        <v>446</v>
      </c>
      <c r="B450" s="70" t="s">
        <v>153</v>
      </c>
      <c r="C450" s="30" t="s">
        <v>92</v>
      </c>
      <c r="D450" s="30">
        <v>4</v>
      </c>
      <c r="E450" s="142"/>
      <c r="F450" s="31">
        <f t="shared" si="21"/>
        <v>0</v>
      </c>
    </row>
    <row r="451" spans="1:6" s="15" customFormat="1" ht="36" x14ac:dyDescent="0.5">
      <c r="A451" s="21">
        <v>447</v>
      </c>
      <c r="B451" s="70" t="s">
        <v>154</v>
      </c>
      <c r="C451" s="30" t="s">
        <v>92</v>
      </c>
      <c r="D451" s="30">
        <v>5</v>
      </c>
      <c r="E451" s="142"/>
      <c r="F451" s="31">
        <f t="shared" si="21"/>
        <v>0</v>
      </c>
    </row>
    <row r="452" spans="1:6" s="15" customFormat="1" ht="36" x14ac:dyDescent="0.5">
      <c r="A452" s="16">
        <v>448</v>
      </c>
      <c r="B452" s="70" t="s">
        <v>155</v>
      </c>
      <c r="C452" s="30" t="s">
        <v>92</v>
      </c>
      <c r="D452" s="30">
        <v>4</v>
      </c>
      <c r="E452" s="142"/>
      <c r="F452" s="31">
        <f t="shared" si="21"/>
        <v>0</v>
      </c>
    </row>
    <row r="453" spans="1:6" s="15" customFormat="1" ht="36" x14ac:dyDescent="0.5">
      <c r="A453" s="16">
        <v>449</v>
      </c>
      <c r="B453" s="70" t="s">
        <v>156</v>
      </c>
      <c r="C453" s="30" t="s">
        <v>16</v>
      </c>
      <c r="D453" s="30">
        <v>1</v>
      </c>
      <c r="E453" s="142"/>
      <c r="F453" s="31">
        <f t="shared" si="21"/>
        <v>0</v>
      </c>
    </row>
    <row r="454" spans="1:6" s="15" customFormat="1" ht="18" x14ac:dyDescent="0.5">
      <c r="A454" s="21">
        <v>450</v>
      </c>
      <c r="B454" s="70" t="s">
        <v>157</v>
      </c>
      <c r="C454" s="30" t="s">
        <v>92</v>
      </c>
      <c r="D454" s="30">
        <v>4</v>
      </c>
      <c r="E454" s="142"/>
      <c r="F454" s="31">
        <f t="shared" si="21"/>
        <v>0</v>
      </c>
    </row>
    <row r="455" spans="1:6" s="15" customFormat="1" ht="18" x14ac:dyDescent="0.5">
      <c r="A455" s="16">
        <v>451</v>
      </c>
      <c r="B455" s="70" t="s">
        <v>158</v>
      </c>
      <c r="C455" s="30" t="s">
        <v>16</v>
      </c>
      <c r="D455" s="30">
        <v>1</v>
      </c>
      <c r="E455" s="142"/>
      <c r="F455" s="31">
        <f t="shared" si="21"/>
        <v>0</v>
      </c>
    </row>
    <row r="456" spans="1:6" s="15" customFormat="1" ht="18" x14ac:dyDescent="0.5">
      <c r="A456" s="16">
        <v>452</v>
      </c>
      <c r="B456" s="63" t="s">
        <v>159</v>
      </c>
      <c r="C456" s="64" t="s">
        <v>73</v>
      </c>
      <c r="D456" s="64" t="s">
        <v>73</v>
      </c>
      <c r="E456" s="151"/>
      <c r="F456" s="79">
        <f>SUM(F446:F455)</f>
        <v>0</v>
      </c>
    </row>
    <row r="457" spans="1:6" s="15" customFormat="1" ht="18" x14ac:dyDescent="0.5">
      <c r="A457" s="21">
        <v>453</v>
      </c>
      <c r="B457" s="100"/>
      <c r="C457" s="101"/>
      <c r="D457" s="101"/>
      <c r="E457" s="158"/>
      <c r="F457" s="101"/>
    </row>
    <row r="458" spans="1:6" s="15" customFormat="1" ht="18" x14ac:dyDescent="0.5">
      <c r="A458" s="16">
        <v>454</v>
      </c>
      <c r="B458" s="102" t="s">
        <v>160</v>
      </c>
      <c r="C458" s="98" t="s">
        <v>73</v>
      </c>
      <c r="D458" s="98" t="s">
        <v>73</v>
      </c>
      <c r="E458" s="157"/>
      <c r="F458" s="98" t="s">
        <v>73</v>
      </c>
    </row>
    <row r="459" spans="1:6" s="15" customFormat="1" ht="18" x14ac:dyDescent="0.5">
      <c r="A459" s="16">
        <v>455</v>
      </c>
      <c r="B459" s="70" t="s">
        <v>161</v>
      </c>
      <c r="C459" s="30" t="s">
        <v>27</v>
      </c>
      <c r="D459" s="30">
        <v>1</v>
      </c>
      <c r="E459" s="142"/>
      <c r="F459" s="31">
        <f>E459*D459</f>
        <v>0</v>
      </c>
    </row>
    <row r="460" spans="1:6" s="15" customFormat="1" ht="18" x14ac:dyDescent="0.5">
      <c r="A460" s="21">
        <v>456</v>
      </c>
      <c r="B460" s="70" t="s">
        <v>162</v>
      </c>
      <c r="C460" s="30" t="s">
        <v>27</v>
      </c>
      <c r="D460" s="30">
        <v>1</v>
      </c>
      <c r="E460" s="142"/>
      <c r="F460" s="31">
        <f>E460*D460</f>
        <v>0</v>
      </c>
    </row>
    <row r="461" spans="1:6" s="15" customFormat="1" ht="18" x14ac:dyDescent="0.5">
      <c r="A461" s="16">
        <v>457</v>
      </c>
      <c r="B461" s="70" t="s">
        <v>163</v>
      </c>
      <c r="C461" s="30" t="s">
        <v>27</v>
      </c>
      <c r="D461" s="30">
        <v>0.9</v>
      </c>
      <c r="E461" s="142"/>
      <c r="F461" s="31">
        <f>E461*D461</f>
        <v>0</v>
      </c>
    </row>
    <row r="462" spans="1:6" s="15" customFormat="1" ht="18" x14ac:dyDescent="0.5">
      <c r="A462" s="16">
        <v>458</v>
      </c>
      <c r="B462" s="70" t="s">
        <v>164</v>
      </c>
      <c r="C462" s="30" t="s">
        <v>27</v>
      </c>
      <c r="D462" s="30">
        <v>0.2</v>
      </c>
      <c r="E462" s="142"/>
      <c r="F462" s="31">
        <f>E462*D462</f>
        <v>0</v>
      </c>
    </row>
    <row r="463" spans="1:6" s="15" customFormat="1" ht="18" x14ac:dyDescent="0.5">
      <c r="A463" s="21">
        <v>459</v>
      </c>
      <c r="B463" s="70" t="s">
        <v>165</v>
      </c>
      <c r="C463" s="30" t="s">
        <v>21</v>
      </c>
      <c r="D463" s="30">
        <v>1</v>
      </c>
      <c r="E463" s="142"/>
      <c r="F463" s="31">
        <f>E463*D463</f>
        <v>0</v>
      </c>
    </row>
    <row r="464" spans="1:6" s="15" customFormat="1" ht="18" x14ac:dyDescent="0.5">
      <c r="A464" s="16">
        <v>460</v>
      </c>
      <c r="B464" s="63" t="s">
        <v>166</v>
      </c>
      <c r="C464" s="64" t="s">
        <v>73</v>
      </c>
      <c r="D464" s="64" t="s">
        <v>73</v>
      </c>
      <c r="E464" s="151"/>
      <c r="F464" s="79">
        <f>SUM(F459:F463)</f>
        <v>0</v>
      </c>
    </row>
    <row r="465" spans="1:6" s="15" customFormat="1" ht="18" x14ac:dyDescent="0.5">
      <c r="A465" s="16">
        <v>461</v>
      </c>
      <c r="B465" s="63" t="s">
        <v>343</v>
      </c>
      <c r="C465" s="64" t="s">
        <v>73</v>
      </c>
      <c r="D465" s="64" t="s">
        <v>73</v>
      </c>
      <c r="E465" s="151"/>
      <c r="F465" s="79">
        <f>F464+F456+F444+F440+F431</f>
        <v>0</v>
      </c>
    </row>
    <row r="466" spans="1:6" s="15" customFormat="1" ht="19.2" x14ac:dyDescent="0.5">
      <c r="A466" s="21">
        <v>462</v>
      </c>
      <c r="B466" s="80" t="s">
        <v>344</v>
      </c>
      <c r="C466" s="55"/>
      <c r="D466" s="56">
        <v>1</v>
      </c>
      <c r="E466" s="148"/>
      <c r="F466" s="82">
        <f>F465*D466</f>
        <v>0</v>
      </c>
    </row>
    <row r="467" spans="1:6" s="15" customFormat="1" ht="19.2" x14ac:dyDescent="0.5">
      <c r="A467" s="16">
        <v>463</v>
      </c>
      <c r="B467" s="80" t="s">
        <v>119</v>
      </c>
      <c r="C467" s="55"/>
      <c r="D467" s="56"/>
      <c r="E467" s="148"/>
      <c r="F467" s="82">
        <f>F466*18/100</f>
        <v>0</v>
      </c>
    </row>
    <row r="468" spans="1:6" s="15" customFormat="1" ht="19.2" x14ac:dyDescent="0.5">
      <c r="A468" s="16">
        <v>464</v>
      </c>
      <c r="B468" s="80" t="s">
        <v>345</v>
      </c>
      <c r="C468" s="55"/>
      <c r="D468" s="56"/>
      <c r="E468" s="148"/>
      <c r="F468" s="82">
        <f>F466+F467</f>
        <v>0</v>
      </c>
    </row>
    <row r="469" spans="1:6" ht="18" x14ac:dyDescent="0.5">
      <c r="A469" s="21">
        <v>465</v>
      </c>
      <c r="B469" s="8" t="s">
        <v>346</v>
      </c>
      <c r="C469" s="58"/>
      <c r="D469" s="59"/>
      <c r="E469" s="149"/>
      <c r="F469" s="58"/>
    </row>
    <row r="470" spans="1:6" ht="18" x14ac:dyDescent="0.5">
      <c r="A470" s="16">
        <v>466</v>
      </c>
      <c r="B470" s="60" t="s">
        <v>2</v>
      </c>
      <c r="C470" s="61" t="s">
        <v>3</v>
      </c>
      <c r="D470" s="62" t="s">
        <v>4</v>
      </c>
      <c r="E470" s="150"/>
      <c r="F470" s="61" t="s">
        <v>6</v>
      </c>
    </row>
    <row r="471" spans="1:6" s="15" customFormat="1" ht="18" x14ac:dyDescent="0.5">
      <c r="A471" s="16">
        <v>467</v>
      </c>
      <c r="B471" s="63" t="s">
        <v>253</v>
      </c>
      <c r="C471" s="64" t="s">
        <v>73</v>
      </c>
      <c r="D471" s="64" t="s">
        <v>73</v>
      </c>
      <c r="E471" s="151"/>
      <c r="F471" s="64" t="s">
        <v>73</v>
      </c>
    </row>
    <row r="472" spans="1:6" s="15" customFormat="1" ht="18" x14ac:dyDescent="0.5">
      <c r="A472" s="21">
        <v>468</v>
      </c>
      <c r="B472" s="63" t="s">
        <v>104</v>
      </c>
      <c r="C472" s="64" t="s">
        <v>73</v>
      </c>
      <c r="D472" s="64" t="s">
        <v>73</v>
      </c>
      <c r="E472" s="151"/>
      <c r="F472" s="64" t="s">
        <v>73</v>
      </c>
    </row>
    <row r="473" spans="1:6" s="15" customFormat="1" ht="21" customHeight="1" x14ac:dyDescent="0.5">
      <c r="A473" s="16">
        <v>469</v>
      </c>
      <c r="B473" s="70" t="s">
        <v>131</v>
      </c>
      <c r="C473" s="30" t="s">
        <v>16</v>
      </c>
      <c r="D473" s="30">
        <v>1</v>
      </c>
      <c r="E473" s="142"/>
      <c r="F473" s="31">
        <f>E473*D473</f>
        <v>0</v>
      </c>
    </row>
    <row r="474" spans="1:6" s="15" customFormat="1" ht="18" x14ac:dyDescent="0.5">
      <c r="A474" s="16">
        <v>470</v>
      </c>
      <c r="B474" s="70" t="s">
        <v>132</v>
      </c>
      <c r="C474" s="30" t="s">
        <v>16</v>
      </c>
      <c r="D474" s="30">
        <v>1</v>
      </c>
      <c r="E474" s="142"/>
      <c r="F474" s="31">
        <f>E474*D474</f>
        <v>0</v>
      </c>
    </row>
    <row r="475" spans="1:6" s="15" customFormat="1" ht="18" x14ac:dyDescent="0.5">
      <c r="A475" s="21">
        <v>471</v>
      </c>
      <c r="B475" s="70" t="s">
        <v>254</v>
      </c>
      <c r="C475" s="30" t="s">
        <v>255</v>
      </c>
      <c r="D475" s="30">
        <v>1.8</v>
      </c>
      <c r="E475" s="142"/>
      <c r="F475" s="31">
        <f>E475*D475</f>
        <v>0</v>
      </c>
    </row>
    <row r="476" spans="1:6" s="15" customFormat="1" ht="18" x14ac:dyDescent="0.5">
      <c r="A476" s="16">
        <v>472</v>
      </c>
      <c r="B476" s="63" t="s">
        <v>133</v>
      </c>
      <c r="C476" s="64" t="s">
        <v>73</v>
      </c>
      <c r="D476" s="64" t="s">
        <v>73</v>
      </c>
      <c r="E476" s="151"/>
      <c r="F476" s="79">
        <f>SUM(F473:F475)</f>
        <v>0</v>
      </c>
    </row>
    <row r="477" spans="1:6" s="15" customFormat="1" ht="18" x14ac:dyDescent="0.5">
      <c r="A477" s="16">
        <v>473</v>
      </c>
      <c r="B477" s="63" t="s">
        <v>134</v>
      </c>
      <c r="C477" s="64" t="s">
        <v>73</v>
      </c>
      <c r="D477" s="64" t="s">
        <v>73</v>
      </c>
      <c r="E477" s="151"/>
      <c r="F477" s="30" t="s">
        <v>73</v>
      </c>
    </row>
    <row r="478" spans="1:6" s="15" customFormat="1" ht="19.8" x14ac:dyDescent="0.5">
      <c r="A478" s="21">
        <v>474</v>
      </c>
      <c r="B478" s="70" t="s">
        <v>135</v>
      </c>
      <c r="C478" s="30" t="s">
        <v>136</v>
      </c>
      <c r="D478" s="30">
        <v>0.73333333333333339</v>
      </c>
      <c r="E478" s="142"/>
      <c r="F478" s="31">
        <f t="shared" ref="F478:F486" si="22">E478*D478</f>
        <v>0</v>
      </c>
    </row>
    <row r="479" spans="1:6" s="15" customFormat="1" ht="19.8" x14ac:dyDescent="0.5">
      <c r="A479" s="16">
        <v>475</v>
      </c>
      <c r="B479" s="70" t="s">
        <v>137</v>
      </c>
      <c r="C479" s="30" t="s">
        <v>136</v>
      </c>
      <c r="D479" s="30">
        <v>2.8800000000000003</v>
      </c>
      <c r="E479" s="142"/>
      <c r="F479" s="31">
        <f t="shared" si="22"/>
        <v>0</v>
      </c>
    </row>
    <row r="480" spans="1:6" s="15" customFormat="1" ht="36" x14ac:dyDescent="0.5">
      <c r="A480" s="16">
        <v>476</v>
      </c>
      <c r="B480" s="70" t="s">
        <v>138</v>
      </c>
      <c r="C480" s="30" t="s">
        <v>139</v>
      </c>
      <c r="D480" s="30">
        <v>9.6</v>
      </c>
      <c r="E480" s="142"/>
      <c r="F480" s="31">
        <f t="shared" si="22"/>
        <v>0</v>
      </c>
    </row>
    <row r="481" spans="1:6" s="15" customFormat="1" ht="19.8" x14ac:dyDescent="0.5">
      <c r="A481" s="21">
        <v>477</v>
      </c>
      <c r="B481" s="70" t="s">
        <v>140</v>
      </c>
      <c r="C481" s="30" t="s">
        <v>136</v>
      </c>
      <c r="D481" s="30">
        <v>0.77333333333333332</v>
      </c>
      <c r="E481" s="142"/>
      <c r="F481" s="31">
        <f t="shared" si="22"/>
        <v>0</v>
      </c>
    </row>
    <row r="482" spans="1:6" s="15" customFormat="1" ht="19.8" x14ac:dyDescent="0.5">
      <c r="A482" s="16">
        <v>478</v>
      </c>
      <c r="B482" s="70" t="s">
        <v>141</v>
      </c>
      <c r="C482" s="30" t="s">
        <v>139</v>
      </c>
      <c r="D482" s="30">
        <v>2.6666666666666665</v>
      </c>
      <c r="E482" s="142"/>
      <c r="F482" s="31">
        <f t="shared" si="22"/>
        <v>0</v>
      </c>
    </row>
    <row r="483" spans="1:6" s="15" customFormat="1" ht="36" x14ac:dyDescent="0.5">
      <c r="A483" s="16">
        <v>479</v>
      </c>
      <c r="B483" s="70" t="s">
        <v>142</v>
      </c>
      <c r="C483" s="30" t="s">
        <v>136</v>
      </c>
      <c r="D483" s="30">
        <v>1.4133333333333333</v>
      </c>
      <c r="E483" s="142"/>
      <c r="F483" s="31">
        <f t="shared" si="22"/>
        <v>0</v>
      </c>
    </row>
    <row r="484" spans="1:6" s="15" customFormat="1" ht="19.8" x14ac:dyDescent="0.5">
      <c r="A484" s="21">
        <v>480</v>
      </c>
      <c r="B484" s="70" t="s">
        <v>143</v>
      </c>
      <c r="C484" s="30" t="s">
        <v>136</v>
      </c>
      <c r="D484" s="30">
        <v>0.17333333333333334</v>
      </c>
      <c r="E484" s="142"/>
      <c r="F484" s="31">
        <f t="shared" si="22"/>
        <v>0</v>
      </c>
    </row>
    <row r="485" spans="1:6" s="15" customFormat="1" ht="18" x14ac:dyDescent="0.5">
      <c r="A485" s="16">
        <v>481</v>
      </c>
      <c r="B485" s="70" t="s">
        <v>256</v>
      </c>
      <c r="C485" s="30" t="s">
        <v>16</v>
      </c>
      <c r="D485" s="30">
        <v>1</v>
      </c>
      <c r="E485" s="142"/>
      <c r="F485" s="31">
        <f t="shared" si="22"/>
        <v>0</v>
      </c>
    </row>
    <row r="486" spans="1:6" s="15" customFormat="1" ht="18" x14ac:dyDescent="0.5">
      <c r="A486" s="16">
        <v>482</v>
      </c>
      <c r="B486" s="70" t="s">
        <v>257</v>
      </c>
      <c r="C486" s="30" t="s">
        <v>16</v>
      </c>
      <c r="D486" s="30">
        <v>1</v>
      </c>
      <c r="E486" s="142"/>
      <c r="F486" s="31">
        <f t="shared" si="22"/>
        <v>0</v>
      </c>
    </row>
    <row r="487" spans="1:6" s="15" customFormat="1" ht="18" x14ac:dyDescent="0.5">
      <c r="A487" s="21">
        <v>483</v>
      </c>
      <c r="B487" s="63" t="s">
        <v>144</v>
      </c>
      <c r="C487" s="64" t="s">
        <v>73</v>
      </c>
      <c r="D487" s="64" t="s">
        <v>73</v>
      </c>
      <c r="E487" s="151"/>
      <c r="F487" s="79">
        <f>SUM(F478:F486)</f>
        <v>0</v>
      </c>
    </row>
    <row r="488" spans="1:6" s="15" customFormat="1" ht="18" x14ac:dyDescent="0.5">
      <c r="A488" s="16">
        <v>484</v>
      </c>
      <c r="B488" s="63" t="s">
        <v>145</v>
      </c>
      <c r="C488" s="64" t="s">
        <v>73</v>
      </c>
      <c r="D488" s="64"/>
      <c r="E488" s="151"/>
      <c r="F488" s="30" t="s">
        <v>73</v>
      </c>
    </row>
    <row r="489" spans="1:6" s="15" customFormat="1" ht="36" x14ac:dyDescent="0.5">
      <c r="A489" s="16">
        <v>485</v>
      </c>
      <c r="B489" s="70" t="s">
        <v>146</v>
      </c>
      <c r="C489" s="30" t="s">
        <v>139</v>
      </c>
      <c r="D489" s="30">
        <v>12.4</v>
      </c>
      <c r="E489" s="142"/>
      <c r="F489" s="31">
        <f>E489*D489</f>
        <v>0</v>
      </c>
    </row>
    <row r="490" spans="1:6" s="15" customFormat="1" ht="19.8" x14ac:dyDescent="0.5">
      <c r="A490" s="21">
        <v>486</v>
      </c>
      <c r="B490" s="70" t="s">
        <v>147</v>
      </c>
      <c r="C490" s="30" t="s">
        <v>139</v>
      </c>
      <c r="D490" s="30">
        <v>12.4</v>
      </c>
      <c r="E490" s="142"/>
      <c r="F490" s="31">
        <f>E490*D490</f>
        <v>0</v>
      </c>
    </row>
    <row r="491" spans="1:6" s="15" customFormat="1" ht="18" x14ac:dyDescent="0.5">
      <c r="A491" s="16">
        <v>487</v>
      </c>
      <c r="B491" s="63" t="s">
        <v>148</v>
      </c>
      <c r="C491" s="64" t="s">
        <v>73</v>
      </c>
      <c r="D491" s="64" t="s">
        <v>73</v>
      </c>
      <c r="E491" s="151"/>
      <c r="F491" s="79">
        <f>SUM(F489:F490)</f>
        <v>0</v>
      </c>
    </row>
    <row r="492" spans="1:6" s="15" customFormat="1" ht="18" x14ac:dyDescent="0.5">
      <c r="A492" s="16">
        <v>488</v>
      </c>
      <c r="B492" s="63" t="s">
        <v>107</v>
      </c>
      <c r="C492" s="64" t="s">
        <v>73</v>
      </c>
      <c r="D492" s="64" t="s">
        <v>73</v>
      </c>
      <c r="E492" s="151"/>
      <c r="F492" s="30" t="s">
        <v>73</v>
      </c>
    </row>
    <row r="493" spans="1:6" s="15" customFormat="1" ht="18" x14ac:dyDescent="0.5">
      <c r="A493" s="21">
        <v>489</v>
      </c>
      <c r="B493" s="70" t="s">
        <v>259</v>
      </c>
      <c r="C493" s="30" t="s">
        <v>21</v>
      </c>
      <c r="D493" s="30">
        <v>1</v>
      </c>
      <c r="E493" s="142"/>
      <c r="F493" s="31">
        <f t="shared" ref="F493:F504" si="23">E493*D493</f>
        <v>0</v>
      </c>
    </row>
    <row r="494" spans="1:6" s="15" customFormat="1" ht="18" x14ac:dyDescent="0.5">
      <c r="A494" s="16">
        <v>490</v>
      </c>
      <c r="B494" s="70" t="s">
        <v>150</v>
      </c>
      <c r="C494" s="30" t="s">
        <v>94</v>
      </c>
      <c r="D494" s="30">
        <v>20</v>
      </c>
      <c r="E494" s="142"/>
      <c r="F494" s="31">
        <f t="shared" si="23"/>
        <v>0</v>
      </c>
    </row>
    <row r="495" spans="1:6" s="15" customFormat="1" ht="36" x14ac:dyDescent="0.5">
      <c r="A495" s="16">
        <v>491</v>
      </c>
      <c r="B495" s="70" t="s">
        <v>260</v>
      </c>
      <c r="C495" s="30" t="s">
        <v>21</v>
      </c>
      <c r="D495" s="30">
        <v>1</v>
      </c>
      <c r="E495" s="142"/>
      <c r="F495" s="31">
        <f t="shared" si="23"/>
        <v>0</v>
      </c>
    </row>
    <row r="496" spans="1:6" s="15" customFormat="1" ht="18" x14ac:dyDescent="0.5">
      <c r="A496" s="21">
        <v>492</v>
      </c>
      <c r="B496" s="70" t="s">
        <v>109</v>
      </c>
      <c r="C496" s="30" t="s">
        <v>261</v>
      </c>
      <c r="D496" s="30">
        <v>4</v>
      </c>
      <c r="E496" s="142"/>
      <c r="F496" s="31">
        <f t="shared" si="23"/>
        <v>0</v>
      </c>
    </row>
    <row r="497" spans="1:6" s="15" customFormat="1" ht="36" x14ac:dyDescent="0.5">
      <c r="A497" s="16">
        <v>493</v>
      </c>
      <c r="B497" s="70" t="s">
        <v>262</v>
      </c>
      <c r="C497" s="30" t="s">
        <v>92</v>
      </c>
      <c r="D497" s="30">
        <v>3</v>
      </c>
      <c r="E497" s="142"/>
      <c r="F497" s="31">
        <f t="shared" si="23"/>
        <v>0</v>
      </c>
    </row>
    <row r="498" spans="1:6" s="15" customFormat="1" ht="78.75" customHeight="1" x14ac:dyDescent="0.5">
      <c r="A498" s="16">
        <v>494</v>
      </c>
      <c r="B498" s="70" t="s">
        <v>263</v>
      </c>
      <c r="C498" s="30" t="s">
        <v>92</v>
      </c>
      <c r="D498" s="30">
        <v>1</v>
      </c>
      <c r="E498" s="142"/>
      <c r="F498" s="31">
        <f t="shared" si="23"/>
        <v>0</v>
      </c>
    </row>
    <row r="499" spans="1:6" s="15" customFormat="1" ht="36" x14ac:dyDescent="0.5">
      <c r="A499" s="21">
        <v>495</v>
      </c>
      <c r="B499" s="70" t="s">
        <v>153</v>
      </c>
      <c r="C499" s="30" t="s">
        <v>92</v>
      </c>
      <c r="D499" s="30">
        <v>4</v>
      </c>
      <c r="E499" s="142"/>
      <c r="F499" s="31">
        <f t="shared" si="23"/>
        <v>0</v>
      </c>
    </row>
    <row r="500" spans="1:6" s="15" customFormat="1" ht="36" x14ac:dyDescent="0.5">
      <c r="A500" s="16">
        <v>496</v>
      </c>
      <c r="B500" s="70" t="s">
        <v>154</v>
      </c>
      <c r="C500" s="30" t="s">
        <v>92</v>
      </c>
      <c r="D500" s="30">
        <v>5</v>
      </c>
      <c r="E500" s="142"/>
      <c r="F500" s="31">
        <f t="shared" si="23"/>
        <v>0</v>
      </c>
    </row>
    <row r="501" spans="1:6" s="15" customFormat="1" ht="36" x14ac:dyDescent="0.5">
      <c r="A501" s="16">
        <v>497</v>
      </c>
      <c r="B501" s="70" t="s">
        <v>155</v>
      </c>
      <c r="C501" s="30" t="s">
        <v>92</v>
      </c>
      <c r="D501" s="30">
        <v>4</v>
      </c>
      <c r="E501" s="142"/>
      <c r="F501" s="31">
        <f t="shared" si="23"/>
        <v>0</v>
      </c>
    </row>
    <row r="502" spans="1:6" s="15" customFormat="1" ht="36" x14ac:dyDescent="0.5">
      <c r="A502" s="21">
        <v>498</v>
      </c>
      <c r="B502" s="70" t="s">
        <v>156</v>
      </c>
      <c r="C502" s="30" t="s">
        <v>16</v>
      </c>
      <c r="D502" s="30">
        <v>1</v>
      </c>
      <c r="E502" s="142"/>
      <c r="F502" s="31">
        <f t="shared" si="23"/>
        <v>0</v>
      </c>
    </row>
    <row r="503" spans="1:6" s="15" customFormat="1" ht="18" x14ac:dyDescent="0.5">
      <c r="A503" s="16">
        <v>499</v>
      </c>
      <c r="B503" s="70" t="s">
        <v>157</v>
      </c>
      <c r="C503" s="30" t="s">
        <v>92</v>
      </c>
      <c r="D503" s="30">
        <v>4</v>
      </c>
      <c r="E503" s="142"/>
      <c r="F503" s="31">
        <f t="shared" si="23"/>
        <v>0</v>
      </c>
    </row>
    <row r="504" spans="1:6" s="15" customFormat="1" ht="18" x14ac:dyDescent="0.5">
      <c r="A504" s="16">
        <v>500</v>
      </c>
      <c r="B504" s="70" t="s">
        <v>158</v>
      </c>
      <c r="C504" s="30" t="s">
        <v>16</v>
      </c>
      <c r="D504" s="30">
        <v>1</v>
      </c>
      <c r="E504" s="142"/>
      <c r="F504" s="31">
        <f t="shared" si="23"/>
        <v>0</v>
      </c>
    </row>
    <row r="505" spans="1:6" s="15" customFormat="1" ht="18" x14ac:dyDescent="0.5">
      <c r="A505" s="21">
        <v>501</v>
      </c>
      <c r="B505" s="63" t="s">
        <v>159</v>
      </c>
      <c r="C505" s="64" t="s">
        <v>73</v>
      </c>
      <c r="D505" s="64" t="s">
        <v>73</v>
      </c>
      <c r="E505" s="151"/>
      <c r="F505" s="79">
        <f>SUM(F493:F504)</f>
        <v>0</v>
      </c>
    </row>
    <row r="506" spans="1:6" s="15" customFormat="1" ht="18" x14ac:dyDescent="0.5">
      <c r="A506" s="16">
        <v>502</v>
      </c>
      <c r="B506" s="100"/>
      <c r="C506" s="101"/>
      <c r="D506" s="101"/>
      <c r="E506" s="158"/>
      <c r="F506" s="101"/>
    </row>
    <row r="507" spans="1:6" s="15" customFormat="1" ht="18" x14ac:dyDescent="0.5">
      <c r="A507" s="16">
        <v>503</v>
      </c>
      <c r="B507" s="102" t="s">
        <v>160</v>
      </c>
      <c r="C507" s="98" t="s">
        <v>73</v>
      </c>
      <c r="D507" s="98" t="s">
        <v>73</v>
      </c>
      <c r="E507" s="157"/>
      <c r="F507" s="98" t="s">
        <v>73</v>
      </c>
    </row>
    <row r="508" spans="1:6" s="15" customFormat="1" ht="18" x14ac:dyDescent="0.5">
      <c r="A508" s="21">
        <v>504</v>
      </c>
      <c r="B508" s="70" t="s">
        <v>161</v>
      </c>
      <c r="C508" s="30" t="s">
        <v>27</v>
      </c>
      <c r="D508" s="30">
        <v>1</v>
      </c>
      <c r="E508" s="142"/>
      <c r="F508" s="31">
        <f>E508*D508</f>
        <v>0</v>
      </c>
    </row>
    <row r="509" spans="1:6" s="15" customFormat="1" ht="18" x14ac:dyDescent="0.5">
      <c r="A509" s="16">
        <v>505</v>
      </c>
      <c r="B509" s="70" t="s">
        <v>162</v>
      </c>
      <c r="C509" s="30" t="s">
        <v>27</v>
      </c>
      <c r="D509" s="30">
        <v>1</v>
      </c>
      <c r="E509" s="142"/>
      <c r="F509" s="31">
        <f>E509*D509</f>
        <v>0</v>
      </c>
    </row>
    <row r="510" spans="1:6" s="15" customFormat="1" ht="18" x14ac:dyDescent="0.5">
      <c r="A510" s="16">
        <v>506</v>
      </c>
      <c r="B510" s="70" t="s">
        <v>163</v>
      </c>
      <c r="C510" s="30" t="s">
        <v>27</v>
      </c>
      <c r="D510" s="30">
        <v>0.9</v>
      </c>
      <c r="E510" s="142"/>
      <c r="F510" s="31">
        <f>E510*D510</f>
        <v>0</v>
      </c>
    </row>
    <row r="511" spans="1:6" s="15" customFormat="1" ht="18" x14ac:dyDescent="0.5">
      <c r="A511" s="21">
        <v>507</v>
      </c>
      <c r="B511" s="70" t="s">
        <v>164</v>
      </c>
      <c r="C511" s="30" t="s">
        <v>27</v>
      </c>
      <c r="D511" s="30">
        <v>0.2</v>
      </c>
      <c r="E511" s="142"/>
      <c r="F511" s="31">
        <f>E511*D511</f>
        <v>0</v>
      </c>
    </row>
    <row r="512" spans="1:6" s="15" customFormat="1" ht="18" x14ac:dyDescent="0.5">
      <c r="A512" s="16">
        <v>508</v>
      </c>
      <c r="B512" s="70" t="s">
        <v>165</v>
      </c>
      <c r="C512" s="30" t="s">
        <v>21</v>
      </c>
      <c r="D512" s="30">
        <v>1</v>
      </c>
      <c r="E512" s="142"/>
      <c r="F512" s="31">
        <f>E512*D512</f>
        <v>0</v>
      </c>
    </row>
    <row r="513" spans="1:6" s="15" customFormat="1" ht="18" x14ac:dyDescent="0.5">
      <c r="A513" s="16">
        <v>509</v>
      </c>
      <c r="B513" s="63" t="s">
        <v>166</v>
      </c>
      <c r="C513" s="64" t="s">
        <v>73</v>
      </c>
      <c r="D513" s="64" t="s">
        <v>73</v>
      </c>
      <c r="E513" s="151"/>
      <c r="F513" s="79">
        <f>SUM(F508:F512)</f>
        <v>0</v>
      </c>
    </row>
    <row r="514" spans="1:6" s="15" customFormat="1" ht="18" x14ac:dyDescent="0.5">
      <c r="A514" s="21">
        <v>510</v>
      </c>
      <c r="B514" s="63" t="s">
        <v>264</v>
      </c>
      <c r="C514" s="64" t="s">
        <v>73</v>
      </c>
      <c r="D514" s="64" t="s">
        <v>73</v>
      </c>
      <c r="E514" s="151"/>
      <c r="F514" s="30" t="s">
        <v>73</v>
      </c>
    </row>
    <row r="515" spans="1:6" s="15" customFormat="1" ht="18" x14ac:dyDescent="0.5">
      <c r="A515" s="16">
        <v>511</v>
      </c>
      <c r="B515" s="70" t="s">
        <v>265</v>
      </c>
      <c r="C515" s="30" t="s">
        <v>94</v>
      </c>
      <c r="D515" s="30">
        <v>9.4</v>
      </c>
      <c r="E515" s="142"/>
      <c r="F515" s="31">
        <f>E515*D515</f>
        <v>0</v>
      </c>
    </row>
    <row r="516" spans="1:6" s="15" customFormat="1" ht="36" x14ac:dyDescent="0.5">
      <c r="A516" s="16">
        <v>512</v>
      </c>
      <c r="B516" s="70" t="s">
        <v>266</v>
      </c>
      <c r="C516" s="30" t="s">
        <v>34</v>
      </c>
      <c r="D516" s="30">
        <v>2.2400000000000002</v>
      </c>
      <c r="E516" s="142"/>
      <c r="F516" s="31">
        <f>E516*D516</f>
        <v>0</v>
      </c>
    </row>
    <row r="517" spans="1:6" s="15" customFormat="1" ht="18" x14ac:dyDescent="0.5">
      <c r="A517" s="21">
        <v>513</v>
      </c>
      <c r="B517" s="63" t="s">
        <v>267</v>
      </c>
      <c r="C517" s="64" t="s">
        <v>73</v>
      </c>
      <c r="D517" s="64" t="s">
        <v>73</v>
      </c>
      <c r="E517" s="151"/>
      <c r="F517" s="79">
        <f>SUM(F515:F516)</f>
        <v>0</v>
      </c>
    </row>
    <row r="518" spans="1:6" s="15" customFormat="1" ht="18" x14ac:dyDescent="0.5">
      <c r="A518" s="16">
        <v>514</v>
      </c>
      <c r="B518" s="63" t="s">
        <v>268</v>
      </c>
      <c r="C518" s="64" t="s">
        <v>73</v>
      </c>
      <c r="D518" s="64" t="s">
        <v>73</v>
      </c>
      <c r="E518" s="151"/>
      <c r="F518" s="79">
        <f>F517+F513+F505+F491+F487+F476</f>
        <v>0</v>
      </c>
    </row>
    <row r="519" spans="1:6" s="15" customFormat="1" ht="18" x14ac:dyDescent="0.5">
      <c r="A519" s="16">
        <v>515</v>
      </c>
      <c r="B519" s="63" t="s">
        <v>73</v>
      </c>
      <c r="C519" s="64" t="s">
        <v>73</v>
      </c>
      <c r="D519" s="64" t="s">
        <v>73</v>
      </c>
      <c r="E519" s="151"/>
      <c r="F519" s="30" t="s">
        <v>73</v>
      </c>
    </row>
    <row r="520" spans="1:6" s="15" customFormat="1" ht="18" x14ac:dyDescent="0.5">
      <c r="A520" s="21">
        <v>516</v>
      </c>
      <c r="B520" s="63" t="s">
        <v>110</v>
      </c>
      <c r="C520" s="64" t="s">
        <v>73</v>
      </c>
      <c r="D520" s="64" t="s">
        <v>73</v>
      </c>
      <c r="E520" s="151"/>
      <c r="F520" s="30" t="s">
        <v>73</v>
      </c>
    </row>
    <row r="521" spans="1:6" s="15" customFormat="1" ht="18" x14ac:dyDescent="0.5">
      <c r="A521" s="16">
        <v>517</v>
      </c>
      <c r="B521" s="63" t="s">
        <v>269</v>
      </c>
      <c r="C521" s="64" t="s">
        <v>73</v>
      </c>
      <c r="D521" s="64" t="s">
        <v>73</v>
      </c>
      <c r="E521" s="151"/>
      <c r="F521" s="30" t="s">
        <v>73</v>
      </c>
    </row>
    <row r="522" spans="1:6" s="15" customFormat="1" ht="18" x14ac:dyDescent="0.5">
      <c r="A522" s="16">
        <v>518</v>
      </c>
      <c r="B522" s="70" t="s">
        <v>88</v>
      </c>
      <c r="C522" s="30" t="s">
        <v>89</v>
      </c>
      <c r="D522" s="30">
        <v>0.42</v>
      </c>
      <c r="E522" s="142"/>
      <c r="F522" s="31">
        <f t="shared" ref="F522:F528" si="24">E522*D522</f>
        <v>0</v>
      </c>
    </row>
    <row r="523" spans="1:6" s="15" customFormat="1" ht="18" x14ac:dyDescent="0.5">
      <c r="A523" s="21">
        <v>519</v>
      </c>
      <c r="B523" s="70" t="s">
        <v>90</v>
      </c>
      <c r="C523" s="30" t="s">
        <v>89</v>
      </c>
      <c r="D523" s="30">
        <v>1</v>
      </c>
      <c r="E523" s="142"/>
      <c r="F523" s="31">
        <f t="shared" si="24"/>
        <v>0</v>
      </c>
    </row>
    <row r="524" spans="1:6" s="15" customFormat="1" ht="18" x14ac:dyDescent="0.5">
      <c r="A524" s="16">
        <v>520</v>
      </c>
      <c r="B524" s="70" t="s">
        <v>112</v>
      </c>
      <c r="C524" s="30" t="s">
        <v>92</v>
      </c>
      <c r="D524" s="30">
        <v>1</v>
      </c>
      <c r="E524" s="142"/>
      <c r="F524" s="31">
        <f t="shared" si="24"/>
        <v>0</v>
      </c>
    </row>
    <row r="525" spans="1:6" s="15" customFormat="1" ht="18" x14ac:dyDescent="0.5">
      <c r="A525" s="16">
        <v>521</v>
      </c>
      <c r="B525" s="70" t="s">
        <v>113</v>
      </c>
      <c r="C525" s="30" t="s">
        <v>94</v>
      </c>
      <c r="D525" s="30">
        <v>20.6</v>
      </c>
      <c r="E525" s="142"/>
      <c r="F525" s="31">
        <f t="shared" si="24"/>
        <v>0</v>
      </c>
    </row>
    <row r="526" spans="1:6" s="15" customFormat="1" ht="18" x14ac:dyDescent="0.5">
      <c r="A526" s="21">
        <v>522</v>
      </c>
      <c r="B526" s="70" t="s">
        <v>114</v>
      </c>
      <c r="C526" s="30" t="s">
        <v>94</v>
      </c>
      <c r="D526" s="30">
        <v>31.8</v>
      </c>
      <c r="E526" s="142"/>
      <c r="F526" s="31">
        <f t="shared" si="24"/>
        <v>0</v>
      </c>
    </row>
    <row r="527" spans="1:6" s="15" customFormat="1" ht="18" x14ac:dyDescent="0.5">
      <c r="A527" s="16">
        <v>523</v>
      </c>
      <c r="B527" s="70" t="s">
        <v>115</v>
      </c>
      <c r="C527" s="30" t="s">
        <v>94</v>
      </c>
      <c r="D527" s="30">
        <v>20</v>
      </c>
      <c r="E527" s="142"/>
      <c r="F527" s="31">
        <f t="shared" si="24"/>
        <v>0</v>
      </c>
    </row>
    <row r="528" spans="1:6" s="15" customFormat="1" ht="36" x14ac:dyDescent="0.5">
      <c r="A528" s="16">
        <v>524</v>
      </c>
      <c r="B528" s="70" t="s">
        <v>116</v>
      </c>
      <c r="C528" s="30" t="s">
        <v>16</v>
      </c>
      <c r="D528" s="30">
        <v>1</v>
      </c>
      <c r="E528" s="142"/>
      <c r="F528" s="31">
        <f t="shared" si="24"/>
        <v>0</v>
      </c>
    </row>
    <row r="529" spans="1:9" s="15" customFormat="1" ht="18" x14ac:dyDescent="0.5">
      <c r="A529" s="21">
        <v>525</v>
      </c>
      <c r="B529" s="63" t="s">
        <v>270</v>
      </c>
      <c r="C529" s="64" t="s">
        <v>73</v>
      </c>
      <c r="D529" s="64" t="s">
        <v>73</v>
      </c>
      <c r="E529" s="151"/>
      <c r="F529" s="79">
        <f>SUM(F522:F528)</f>
        <v>0</v>
      </c>
    </row>
    <row r="530" spans="1:9" s="15" customFormat="1" ht="18" x14ac:dyDescent="0.5">
      <c r="A530" s="16">
        <v>526</v>
      </c>
      <c r="B530" s="63" t="s">
        <v>271</v>
      </c>
      <c r="C530" s="64" t="s">
        <v>73</v>
      </c>
      <c r="D530" s="64" t="s">
        <v>73</v>
      </c>
      <c r="E530" s="151"/>
      <c r="F530" s="79">
        <f>F529</f>
        <v>0</v>
      </c>
    </row>
    <row r="531" spans="1:9" s="15" customFormat="1" ht="18" x14ac:dyDescent="0.5">
      <c r="A531" s="16">
        <v>527</v>
      </c>
      <c r="B531" s="67" t="s">
        <v>272</v>
      </c>
      <c r="C531" s="68" t="s">
        <v>73</v>
      </c>
      <c r="D531" s="68" t="s">
        <v>73</v>
      </c>
      <c r="E531" s="152"/>
      <c r="F531" s="69">
        <f>+F530+F518</f>
        <v>0</v>
      </c>
    </row>
    <row r="532" spans="1:9" s="15" customFormat="1" ht="76.8" x14ac:dyDescent="0.5">
      <c r="A532" s="21">
        <v>528</v>
      </c>
      <c r="B532" s="80" t="s">
        <v>347</v>
      </c>
      <c r="C532" s="55"/>
      <c r="D532" s="56">
        <v>13</v>
      </c>
      <c r="E532" s="148"/>
      <c r="F532" s="82">
        <f>F531*D532</f>
        <v>0</v>
      </c>
    </row>
    <row r="533" spans="1:9" s="15" customFormat="1" ht="26.4" customHeight="1" x14ac:dyDescent="0.5">
      <c r="A533" s="16">
        <v>529</v>
      </c>
      <c r="B533" s="80" t="s">
        <v>119</v>
      </c>
      <c r="C533" s="55"/>
      <c r="D533" s="56"/>
      <c r="E533" s="148"/>
      <c r="F533" s="82">
        <f>F532*18/100</f>
        <v>0</v>
      </c>
      <c r="H533" s="125"/>
      <c r="I533" s="126"/>
    </row>
    <row r="534" spans="1:9" s="127" customFormat="1" ht="19.2" customHeight="1" x14ac:dyDescent="0.5">
      <c r="A534" s="16">
        <v>530</v>
      </c>
      <c r="B534" s="83" t="s">
        <v>348</v>
      </c>
      <c r="C534" s="84"/>
      <c r="D534" s="85"/>
      <c r="E534" s="156"/>
      <c r="F534" s="86">
        <f>F532+F533</f>
        <v>0</v>
      </c>
    </row>
    <row r="535" spans="1:9" ht="18" x14ac:dyDescent="0.5">
      <c r="A535" s="21">
        <v>531</v>
      </c>
      <c r="B535" s="8" t="s">
        <v>349</v>
      </c>
      <c r="C535" s="58"/>
      <c r="D535" s="59"/>
      <c r="E535" s="149"/>
      <c r="F535" s="58"/>
    </row>
    <row r="536" spans="1:9" ht="18" x14ac:dyDescent="0.5">
      <c r="A536" s="16">
        <v>532</v>
      </c>
      <c r="B536" s="60" t="s">
        <v>2</v>
      </c>
      <c r="C536" s="61" t="s">
        <v>3</v>
      </c>
      <c r="D536" s="62" t="s">
        <v>4</v>
      </c>
      <c r="E536" s="150"/>
      <c r="F536" s="61" t="s">
        <v>6</v>
      </c>
    </row>
    <row r="537" spans="1:9" s="65" customFormat="1" ht="18" x14ac:dyDescent="0.5">
      <c r="A537" s="16">
        <v>533</v>
      </c>
      <c r="B537" s="63" t="s">
        <v>253</v>
      </c>
      <c r="C537" s="64" t="s">
        <v>73</v>
      </c>
      <c r="D537" s="64" t="s">
        <v>73</v>
      </c>
      <c r="E537" s="151"/>
      <c r="F537" s="64" t="s">
        <v>73</v>
      </c>
    </row>
    <row r="538" spans="1:9" s="65" customFormat="1" ht="18" x14ac:dyDescent="0.5">
      <c r="A538" s="21">
        <v>534</v>
      </c>
      <c r="B538" s="63" t="s">
        <v>104</v>
      </c>
      <c r="C538" s="64" t="s">
        <v>73</v>
      </c>
      <c r="D538" s="64" t="s">
        <v>73</v>
      </c>
      <c r="E538" s="151"/>
      <c r="F538" s="64" t="s">
        <v>73</v>
      </c>
    </row>
    <row r="539" spans="1:9" s="65" customFormat="1" ht="18" x14ac:dyDescent="0.5">
      <c r="A539" s="16">
        <v>535</v>
      </c>
      <c r="B539" s="70" t="s">
        <v>105</v>
      </c>
      <c r="C539" s="30" t="s">
        <v>16</v>
      </c>
      <c r="D539" s="30">
        <v>1</v>
      </c>
      <c r="E539" s="142"/>
      <c r="F539" s="31">
        <f>E539*D539</f>
        <v>0</v>
      </c>
    </row>
    <row r="540" spans="1:9" s="65" customFormat="1" ht="18" x14ac:dyDescent="0.5">
      <c r="A540" s="16">
        <v>536</v>
      </c>
      <c r="B540" s="63" t="s">
        <v>350</v>
      </c>
      <c r="C540" s="64" t="s">
        <v>73</v>
      </c>
      <c r="D540" s="64" t="s">
        <v>73</v>
      </c>
      <c r="E540" s="151"/>
      <c r="F540" s="79">
        <f>SUM(F539:F539)</f>
        <v>0</v>
      </c>
    </row>
    <row r="541" spans="1:9" s="65" customFormat="1" ht="18" x14ac:dyDescent="0.5">
      <c r="A541" s="21">
        <v>537</v>
      </c>
      <c r="B541" s="63" t="s">
        <v>107</v>
      </c>
      <c r="C541" s="64" t="s">
        <v>73</v>
      </c>
      <c r="D541" s="64" t="s">
        <v>73</v>
      </c>
      <c r="E541" s="151"/>
      <c r="F541" s="30" t="s">
        <v>73</v>
      </c>
    </row>
    <row r="542" spans="1:9" s="65" customFormat="1" ht="36" x14ac:dyDescent="0.5">
      <c r="A542" s="16">
        <v>538</v>
      </c>
      <c r="B542" s="70" t="s">
        <v>351</v>
      </c>
      <c r="C542" s="30" t="s">
        <v>21</v>
      </c>
      <c r="D542" s="30">
        <v>1</v>
      </c>
      <c r="E542" s="142"/>
      <c r="F542" s="31">
        <f>E542*D542</f>
        <v>0</v>
      </c>
    </row>
    <row r="543" spans="1:9" s="65" customFormat="1" ht="18" x14ac:dyDescent="0.5">
      <c r="A543" s="16">
        <v>539</v>
      </c>
      <c r="B543" s="70" t="s">
        <v>109</v>
      </c>
      <c r="C543" s="30" t="s">
        <v>16</v>
      </c>
      <c r="D543" s="30">
        <v>1</v>
      </c>
      <c r="E543" s="142"/>
      <c r="F543" s="31">
        <f>E543*D543</f>
        <v>0</v>
      </c>
    </row>
    <row r="544" spans="1:9" s="65" customFormat="1" ht="18" x14ac:dyDescent="0.5">
      <c r="A544" s="21">
        <v>540</v>
      </c>
      <c r="B544" s="63" t="s">
        <v>144</v>
      </c>
      <c r="C544" s="64" t="s">
        <v>73</v>
      </c>
      <c r="D544" s="64" t="s">
        <v>73</v>
      </c>
      <c r="E544" s="151"/>
      <c r="F544" s="79">
        <f>SUM(F542:F543)</f>
        <v>0</v>
      </c>
    </row>
    <row r="545" spans="1:6" s="65" customFormat="1" ht="18" x14ac:dyDescent="0.5">
      <c r="A545" s="16">
        <v>541</v>
      </c>
      <c r="B545" s="67" t="s">
        <v>117</v>
      </c>
      <c r="C545" s="68" t="s">
        <v>73</v>
      </c>
      <c r="D545" s="68" t="s">
        <v>73</v>
      </c>
      <c r="E545" s="152"/>
      <c r="F545" s="69">
        <f>F544+F540</f>
        <v>0</v>
      </c>
    </row>
    <row r="546" spans="1:6" s="65" customFormat="1" ht="57.6" x14ac:dyDescent="0.5">
      <c r="A546" s="16">
        <v>542</v>
      </c>
      <c r="B546" s="80" t="s">
        <v>352</v>
      </c>
      <c r="C546" s="55"/>
      <c r="D546" s="56">
        <v>16</v>
      </c>
      <c r="E546" s="148"/>
      <c r="F546" s="82">
        <f>F545*D546</f>
        <v>0</v>
      </c>
    </row>
    <row r="547" spans="1:6" s="65" customFormat="1" ht="19.2" x14ac:dyDescent="0.5">
      <c r="A547" s="21">
        <v>543</v>
      </c>
      <c r="B547" s="80" t="s">
        <v>119</v>
      </c>
      <c r="C547" s="55"/>
      <c r="D547" s="56"/>
      <c r="E547" s="148"/>
      <c r="F547" s="82">
        <f>F546*18/100</f>
        <v>0</v>
      </c>
    </row>
    <row r="548" spans="1:6" s="65" customFormat="1" ht="19.2" x14ac:dyDescent="0.5">
      <c r="A548" s="16">
        <v>544</v>
      </c>
      <c r="B548" s="80" t="s">
        <v>353</v>
      </c>
      <c r="C548" s="55"/>
      <c r="D548" s="56"/>
      <c r="E548" s="148"/>
      <c r="F548" s="82">
        <f>F547+F546</f>
        <v>0</v>
      </c>
    </row>
    <row r="549" spans="1:6" ht="18" x14ac:dyDescent="0.5">
      <c r="A549" s="21">
        <v>545</v>
      </c>
      <c r="B549" s="128" t="s">
        <v>354</v>
      </c>
      <c r="C549" s="129"/>
      <c r="D549" s="130"/>
      <c r="E549" s="164"/>
      <c r="F549" s="129"/>
    </row>
    <row r="550" spans="1:6" ht="18" x14ac:dyDescent="0.5">
      <c r="A550" s="16">
        <v>546</v>
      </c>
      <c r="B550" s="60" t="s">
        <v>2</v>
      </c>
      <c r="C550" s="61" t="s">
        <v>3</v>
      </c>
      <c r="D550" s="62" t="s">
        <v>4</v>
      </c>
      <c r="E550" s="150"/>
      <c r="F550" s="61" t="s">
        <v>6</v>
      </c>
    </row>
    <row r="551" spans="1:6" s="15" customFormat="1" ht="18" x14ac:dyDescent="0.5">
      <c r="A551" s="16">
        <v>547</v>
      </c>
      <c r="B551" s="63" t="s">
        <v>253</v>
      </c>
      <c r="C551" s="64" t="s">
        <v>73</v>
      </c>
      <c r="D551" s="64" t="s">
        <v>73</v>
      </c>
      <c r="E551" s="151"/>
      <c r="F551" s="64" t="s">
        <v>73</v>
      </c>
    </row>
    <row r="552" spans="1:6" s="15" customFormat="1" ht="18" x14ac:dyDescent="0.5">
      <c r="A552" s="16">
        <v>548</v>
      </c>
      <c r="B552" s="63" t="s">
        <v>104</v>
      </c>
      <c r="C552" s="64" t="s">
        <v>73</v>
      </c>
      <c r="D552" s="64" t="s">
        <v>73</v>
      </c>
      <c r="E552" s="151"/>
      <c r="F552" s="64" t="s">
        <v>73</v>
      </c>
    </row>
    <row r="553" spans="1:6" s="15" customFormat="1" ht="18" x14ac:dyDescent="0.5">
      <c r="A553" s="21">
        <v>549</v>
      </c>
      <c r="B553" s="70" t="s">
        <v>131</v>
      </c>
      <c r="C553" s="30" t="s">
        <v>16</v>
      </c>
      <c r="D553" s="30">
        <v>1</v>
      </c>
      <c r="E553" s="142"/>
      <c r="F553" s="31">
        <f>E553*D553</f>
        <v>0</v>
      </c>
    </row>
    <row r="554" spans="1:6" s="15" customFormat="1" ht="18" x14ac:dyDescent="0.5">
      <c r="A554" s="16">
        <v>550</v>
      </c>
      <c r="B554" s="70" t="s">
        <v>132</v>
      </c>
      <c r="C554" s="30" t="s">
        <v>16</v>
      </c>
      <c r="D554" s="30">
        <v>1</v>
      </c>
      <c r="E554" s="142"/>
      <c r="F554" s="31">
        <f>E554*D554</f>
        <v>0</v>
      </c>
    </row>
    <row r="555" spans="1:6" s="15" customFormat="1" ht="18" x14ac:dyDescent="0.5">
      <c r="A555" s="16">
        <v>551</v>
      </c>
      <c r="B555" s="70" t="s">
        <v>254</v>
      </c>
      <c r="C555" s="30" t="s">
        <v>255</v>
      </c>
      <c r="D555" s="30">
        <v>1.8</v>
      </c>
      <c r="E555" s="142"/>
      <c r="F555" s="31">
        <f>E555*D555</f>
        <v>0</v>
      </c>
    </row>
    <row r="556" spans="1:6" s="15" customFormat="1" ht="18" x14ac:dyDescent="0.5">
      <c r="A556" s="21">
        <v>552</v>
      </c>
      <c r="B556" s="63" t="s">
        <v>133</v>
      </c>
      <c r="C556" s="64" t="s">
        <v>73</v>
      </c>
      <c r="D556" s="64" t="s">
        <v>73</v>
      </c>
      <c r="E556" s="151"/>
      <c r="F556" s="79">
        <f>SUM(F553:F555)</f>
        <v>0</v>
      </c>
    </row>
    <row r="557" spans="1:6" s="15" customFormat="1" ht="18" x14ac:dyDescent="0.5">
      <c r="A557" s="16">
        <v>553</v>
      </c>
      <c r="B557" s="63" t="s">
        <v>134</v>
      </c>
      <c r="C557" s="64" t="s">
        <v>73</v>
      </c>
      <c r="D557" s="64" t="s">
        <v>73</v>
      </c>
      <c r="E557" s="151"/>
      <c r="F557" s="30" t="s">
        <v>73</v>
      </c>
    </row>
    <row r="558" spans="1:6" s="15" customFormat="1" ht="19.8" x14ac:dyDescent="0.5">
      <c r="A558" s="16">
        <v>554</v>
      </c>
      <c r="B558" s="70" t="s">
        <v>135</v>
      </c>
      <c r="C558" s="30" t="s">
        <v>136</v>
      </c>
      <c r="D558" s="30">
        <v>0.73333333333333339</v>
      </c>
      <c r="E558" s="142"/>
      <c r="F558" s="31">
        <f t="shared" ref="F558:F566" si="25">E558*D558</f>
        <v>0</v>
      </c>
    </row>
    <row r="559" spans="1:6" s="15" customFormat="1" ht="19.8" x14ac:dyDescent="0.5">
      <c r="A559" s="21">
        <v>555</v>
      </c>
      <c r="B559" s="70" t="s">
        <v>137</v>
      </c>
      <c r="C559" s="30" t="s">
        <v>136</v>
      </c>
      <c r="D559" s="30">
        <v>2.8800000000000003</v>
      </c>
      <c r="E559" s="142"/>
      <c r="F559" s="31">
        <f t="shared" si="25"/>
        <v>0</v>
      </c>
    </row>
    <row r="560" spans="1:6" s="15" customFormat="1" ht="36" x14ac:dyDescent="0.5">
      <c r="A560" s="16">
        <v>556</v>
      </c>
      <c r="B560" s="70" t="s">
        <v>138</v>
      </c>
      <c r="C560" s="30" t="s">
        <v>139</v>
      </c>
      <c r="D560" s="30">
        <v>9.6</v>
      </c>
      <c r="E560" s="142"/>
      <c r="F560" s="31">
        <f t="shared" si="25"/>
        <v>0</v>
      </c>
    </row>
    <row r="561" spans="1:6" s="15" customFormat="1" ht="19.8" x14ac:dyDescent="0.5">
      <c r="A561" s="16">
        <v>557</v>
      </c>
      <c r="B561" s="70" t="s">
        <v>140</v>
      </c>
      <c r="C561" s="30" t="s">
        <v>136</v>
      </c>
      <c r="D561" s="30">
        <v>0.77333333333333332</v>
      </c>
      <c r="E561" s="142"/>
      <c r="F561" s="31">
        <f t="shared" si="25"/>
        <v>0</v>
      </c>
    </row>
    <row r="562" spans="1:6" s="15" customFormat="1" ht="19.8" x14ac:dyDescent="0.5">
      <c r="A562" s="21">
        <v>558</v>
      </c>
      <c r="B562" s="70" t="s">
        <v>141</v>
      </c>
      <c r="C562" s="30" t="s">
        <v>139</v>
      </c>
      <c r="D562" s="30">
        <v>2.6666666666666665</v>
      </c>
      <c r="E562" s="142"/>
      <c r="F562" s="31">
        <f t="shared" si="25"/>
        <v>0</v>
      </c>
    </row>
    <row r="563" spans="1:6" s="15" customFormat="1" ht="36" x14ac:dyDescent="0.5">
      <c r="A563" s="16">
        <v>559</v>
      </c>
      <c r="B563" s="70" t="s">
        <v>142</v>
      </c>
      <c r="C563" s="30" t="s">
        <v>136</v>
      </c>
      <c r="D563" s="30">
        <v>1.4133333333333333</v>
      </c>
      <c r="E563" s="142"/>
      <c r="F563" s="31">
        <f t="shared" si="25"/>
        <v>0</v>
      </c>
    </row>
    <row r="564" spans="1:6" s="15" customFormat="1" ht="19.8" x14ac:dyDescent="0.5">
      <c r="A564" s="16">
        <v>560</v>
      </c>
      <c r="B564" s="70" t="s">
        <v>143</v>
      </c>
      <c r="C564" s="30" t="s">
        <v>136</v>
      </c>
      <c r="D564" s="30">
        <v>0.17333333333333334</v>
      </c>
      <c r="E564" s="142"/>
      <c r="F564" s="31">
        <f t="shared" si="25"/>
        <v>0</v>
      </c>
    </row>
    <row r="565" spans="1:6" s="15" customFormat="1" ht="18" x14ac:dyDescent="0.5">
      <c r="A565" s="21">
        <v>561</v>
      </c>
      <c r="B565" s="70" t="s">
        <v>256</v>
      </c>
      <c r="C565" s="30" t="s">
        <v>16</v>
      </c>
      <c r="D565" s="30">
        <v>1</v>
      </c>
      <c r="E565" s="142"/>
      <c r="F565" s="31">
        <f t="shared" si="25"/>
        <v>0</v>
      </c>
    </row>
    <row r="566" spans="1:6" s="15" customFormat="1" ht="18" x14ac:dyDescent="0.5">
      <c r="A566" s="16">
        <v>562</v>
      </c>
      <c r="B566" s="70" t="s">
        <v>257</v>
      </c>
      <c r="C566" s="30" t="s">
        <v>16</v>
      </c>
      <c r="D566" s="30">
        <v>1</v>
      </c>
      <c r="E566" s="142"/>
      <c r="F566" s="31">
        <f t="shared" si="25"/>
        <v>0</v>
      </c>
    </row>
    <row r="567" spans="1:6" s="15" customFormat="1" ht="18" x14ac:dyDescent="0.5">
      <c r="A567" s="16">
        <v>563</v>
      </c>
      <c r="B567" s="63" t="s">
        <v>144</v>
      </c>
      <c r="C567" s="64" t="s">
        <v>73</v>
      </c>
      <c r="D567" s="64" t="s">
        <v>73</v>
      </c>
      <c r="E567" s="151"/>
      <c r="F567" s="79">
        <f>SUM(F558:F566)</f>
        <v>0</v>
      </c>
    </row>
    <row r="568" spans="1:6" s="15" customFormat="1" ht="18" x14ac:dyDescent="0.5">
      <c r="A568" s="21">
        <v>564</v>
      </c>
      <c r="B568" s="63" t="s">
        <v>145</v>
      </c>
      <c r="C568" s="64" t="s">
        <v>73</v>
      </c>
      <c r="D568" s="64"/>
      <c r="E568" s="151"/>
      <c r="F568" s="30" t="s">
        <v>73</v>
      </c>
    </row>
    <row r="569" spans="1:6" s="15" customFormat="1" ht="36" x14ac:dyDescent="0.5">
      <c r="A569" s="16">
        <v>565</v>
      </c>
      <c r="B569" s="70" t="s">
        <v>146</v>
      </c>
      <c r="C569" s="30" t="s">
        <v>139</v>
      </c>
      <c r="D569" s="30">
        <v>12.4</v>
      </c>
      <c r="E569" s="142"/>
      <c r="F569" s="31">
        <f>E569*D569</f>
        <v>0</v>
      </c>
    </row>
    <row r="570" spans="1:6" s="15" customFormat="1" ht="19.8" x14ac:dyDescent="0.5">
      <c r="A570" s="16">
        <v>566</v>
      </c>
      <c r="B570" s="70" t="s">
        <v>147</v>
      </c>
      <c r="C570" s="30" t="s">
        <v>139</v>
      </c>
      <c r="D570" s="30">
        <v>12.4</v>
      </c>
      <c r="E570" s="142"/>
      <c r="F570" s="31">
        <f>E570*D570</f>
        <v>0</v>
      </c>
    </row>
    <row r="571" spans="1:6" s="15" customFormat="1" ht="18" x14ac:dyDescent="0.5">
      <c r="A571" s="21">
        <v>567</v>
      </c>
      <c r="B571" s="63" t="s">
        <v>148</v>
      </c>
      <c r="C571" s="64" t="s">
        <v>73</v>
      </c>
      <c r="D571" s="64" t="s">
        <v>73</v>
      </c>
      <c r="E571" s="151"/>
      <c r="F571" s="79">
        <f>SUM(F569:F570)</f>
        <v>0</v>
      </c>
    </row>
    <row r="572" spans="1:6" s="15" customFormat="1" ht="18" x14ac:dyDescent="0.5">
      <c r="A572" s="16">
        <v>568</v>
      </c>
      <c r="B572" s="63" t="s">
        <v>107</v>
      </c>
      <c r="C572" s="64" t="s">
        <v>73</v>
      </c>
      <c r="D572" s="64" t="s">
        <v>73</v>
      </c>
      <c r="E572" s="151"/>
      <c r="F572" s="30" t="s">
        <v>73</v>
      </c>
    </row>
    <row r="573" spans="1:6" s="15" customFormat="1" ht="18" x14ac:dyDescent="0.5">
      <c r="A573" s="16">
        <v>569</v>
      </c>
      <c r="B573" s="70" t="s">
        <v>259</v>
      </c>
      <c r="C573" s="30" t="s">
        <v>21</v>
      </c>
      <c r="D573" s="30">
        <v>1</v>
      </c>
      <c r="E573" s="142"/>
      <c r="F573" s="31">
        <f t="shared" ref="F573:F584" si="26">E573*D573</f>
        <v>0</v>
      </c>
    </row>
    <row r="574" spans="1:6" s="15" customFormat="1" ht="18" x14ac:dyDescent="0.5">
      <c r="A574" s="21">
        <v>570</v>
      </c>
      <c r="B574" s="70" t="s">
        <v>150</v>
      </c>
      <c r="C574" s="30" t="s">
        <v>94</v>
      </c>
      <c r="D574" s="30">
        <v>20</v>
      </c>
      <c r="E574" s="142"/>
      <c r="F574" s="31">
        <f t="shared" si="26"/>
        <v>0</v>
      </c>
    </row>
    <row r="575" spans="1:6" s="15" customFormat="1" ht="36" x14ac:dyDescent="0.5">
      <c r="A575" s="16">
        <v>571</v>
      </c>
      <c r="B575" s="70" t="s">
        <v>260</v>
      </c>
      <c r="C575" s="30" t="s">
        <v>21</v>
      </c>
      <c r="D575" s="30">
        <v>1</v>
      </c>
      <c r="E575" s="142"/>
      <c r="F575" s="31">
        <f t="shared" si="26"/>
        <v>0</v>
      </c>
    </row>
    <row r="576" spans="1:6" s="15" customFormat="1" ht="18" x14ac:dyDescent="0.5">
      <c r="A576" s="16">
        <v>572</v>
      </c>
      <c r="B576" s="70" t="s">
        <v>109</v>
      </c>
      <c r="C576" s="30" t="s">
        <v>261</v>
      </c>
      <c r="D576" s="30">
        <v>4</v>
      </c>
      <c r="E576" s="142"/>
      <c r="F576" s="31">
        <f t="shared" si="26"/>
        <v>0</v>
      </c>
    </row>
    <row r="577" spans="1:6" s="15" customFormat="1" ht="36" x14ac:dyDescent="0.5">
      <c r="A577" s="21">
        <v>573</v>
      </c>
      <c r="B577" s="70" t="s">
        <v>262</v>
      </c>
      <c r="C577" s="30" t="s">
        <v>92</v>
      </c>
      <c r="D577" s="30">
        <v>3</v>
      </c>
      <c r="E577" s="142"/>
      <c r="F577" s="31">
        <f t="shared" si="26"/>
        <v>0</v>
      </c>
    </row>
    <row r="578" spans="1:6" s="15" customFormat="1" ht="78.75" customHeight="1" x14ac:dyDescent="0.5">
      <c r="A578" s="16">
        <v>574</v>
      </c>
      <c r="B578" s="70" t="s">
        <v>263</v>
      </c>
      <c r="C578" s="30" t="s">
        <v>92</v>
      </c>
      <c r="D578" s="30">
        <v>1</v>
      </c>
      <c r="E578" s="142"/>
      <c r="F578" s="31">
        <f t="shared" si="26"/>
        <v>0</v>
      </c>
    </row>
    <row r="579" spans="1:6" s="15" customFormat="1" ht="36" x14ac:dyDescent="0.5">
      <c r="A579" s="16">
        <v>575</v>
      </c>
      <c r="B579" s="70" t="s">
        <v>153</v>
      </c>
      <c r="C579" s="30" t="s">
        <v>92</v>
      </c>
      <c r="D579" s="30">
        <v>4</v>
      </c>
      <c r="E579" s="142"/>
      <c r="F579" s="31">
        <f t="shared" si="26"/>
        <v>0</v>
      </c>
    </row>
    <row r="580" spans="1:6" s="15" customFormat="1" ht="36" x14ac:dyDescent="0.5">
      <c r="A580" s="21">
        <v>576</v>
      </c>
      <c r="B580" s="70" t="s">
        <v>154</v>
      </c>
      <c r="C580" s="30" t="s">
        <v>92</v>
      </c>
      <c r="D580" s="30">
        <v>5</v>
      </c>
      <c r="E580" s="142"/>
      <c r="F580" s="31">
        <f t="shared" si="26"/>
        <v>0</v>
      </c>
    </row>
    <row r="581" spans="1:6" s="15" customFormat="1" ht="36" x14ac:dyDescent="0.5">
      <c r="A581" s="16">
        <v>577</v>
      </c>
      <c r="B581" s="70" t="s">
        <v>155</v>
      </c>
      <c r="C581" s="30" t="s">
        <v>92</v>
      </c>
      <c r="D581" s="30">
        <v>4</v>
      </c>
      <c r="E581" s="142"/>
      <c r="F581" s="31">
        <f t="shared" si="26"/>
        <v>0</v>
      </c>
    </row>
    <row r="582" spans="1:6" s="15" customFormat="1" ht="36" x14ac:dyDescent="0.5">
      <c r="A582" s="16">
        <v>578</v>
      </c>
      <c r="B582" s="70" t="s">
        <v>156</v>
      </c>
      <c r="C582" s="30" t="s">
        <v>16</v>
      </c>
      <c r="D582" s="30">
        <v>1</v>
      </c>
      <c r="E582" s="142"/>
      <c r="F582" s="31">
        <f t="shared" si="26"/>
        <v>0</v>
      </c>
    </row>
    <row r="583" spans="1:6" s="15" customFormat="1" ht="18" x14ac:dyDescent="0.5">
      <c r="A583" s="21">
        <v>579</v>
      </c>
      <c r="B583" s="70" t="s">
        <v>157</v>
      </c>
      <c r="C583" s="30" t="s">
        <v>92</v>
      </c>
      <c r="D583" s="30">
        <v>4</v>
      </c>
      <c r="E583" s="142"/>
      <c r="F583" s="31">
        <f t="shared" si="26"/>
        <v>0</v>
      </c>
    </row>
    <row r="584" spans="1:6" s="15" customFormat="1" ht="18" x14ac:dyDescent="0.5">
      <c r="A584" s="16">
        <v>580</v>
      </c>
      <c r="B584" s="70" t="s">
        <v>158</v>
      </c>
      <c r="C584" s="30" t="s">
        <v>16</v>
      </c>
      <c r="D584" s="30">
        <v>1</v>
      </c>
      <c r="E584" s="142"/>
      <c r="F584" s="31">
        <f t="shared" si="26"/>
        <v>0</v>
      </c>
    </row>
    <row r="585" spans="1:6" s="15" customFormat="1" ht="18" x14ac:dyDescent="0.5">
      <c r="A585" s="16">
        <v>581</v>
      </c>
      <c r="B585" s="63" t="s">
        <v>159</v>
      </c>
      <c r="C585" s="64" t="s">
        <v>73</v>
      </c>
      <c r="D585" s="64" t="s">
        <v>73</v>
      </c>
      <c r="E585" s="151"/>
      <c r="F585" s="79">
        <f>SUM(F573:F584)</f>
        <v>0</v>
      </c>
    </row>
    <row r="586" spans="1:6" s="15" customFormat="1" ht="18" x14ac:dyDescent="0.5">
      <c r="A586" s="21">
        <v>582</v>
      </c>
      <c r="B586" s="100"/>
      <c r="C586" s="101"/>
      <c r="D586" s="101"/>
      <c r="E586" s="158"/>
      <c r="F586" s="101"/>
    </row>
    <row r="587" spans="1:6" s="15" customFormat="1" ht="18" x14ac:dyDescent="0.5">
      <c r="A587" s="16">
        <v>583</v>
      </c>
      <c r="B587" s="102" t="s">
        <v>160</v>
      </c>
      <c r="C587" s="98" t="s">
        <v>73</v>
      </c>
      <c r="D587" s="98" t="s">
        <v>73</v>
      </c>
      <c r="E587" s="157"/>
      <c r="F587" s="98" t="s">
        <v>73</v>
      </c>
    </row>
    <row r="588" spans="1:6" s="15" customFormat="1" ht="18" x14ac:dyDescent="0.5">
      <c r="A588" s="16">
        <v>584</v>
      </c>
      <c r="B588" s="70" t="s">
        <v>161</v>
      </c>
      <c r="C588" s="30" t="s">
        <v>27</v>
      </c>
      <c r="D588" s="30">
        <v>1</v>
      </c>
      <c r="E588" s="142"/>
      <c r="F588" s="31">
        <f>E588*D588</f>
        <v>0</v>
      </c>
    </row>
    <row r="589" spans="1:6" s="15" customFormat="1" ht="18" x14ac:dyDescent="0.5">
      <c r="A589" s="21">
        <v>585</v>
      </c>
      <c r="B589" s="70" t="s">
        <v>162</v>
      </c>
      <c r="C589" s="30" t="s">
        <v>27</v>
      </c>
      <c r="D589" s="30">
        <v>1</v>
      </c>
      <c r="E589" s="142"/>
      <c r="F589" s="31">
        <f>E589*D589</f>
        <v>0</v>
      </c>
    </row>
    <row r="590" spans="1:6" s="15" customFormat="1" ht="18" x14ac:dyDescent="0.5">
      <c r="A590" s="16">
        <v>586</v>
      </c>
      <c r="B590" s="70" t="s">
        <v>163</v>
      </c>
      <c r="C590" s="30" t="s">
        <v>27</v>
      </c>
      <c r="D590" s="30">
        <v>0.9</v>
      </c>
      <c r="E590" s="142"/>
      <c r="F590" s="31">
        <f>E590*D590</f>
        <v>0</v>
      </c>
    </row>
    <row r="591" spans="1:6" s="15" customFormat="1" ht="18" x14ac:dyDescent="0.5">
      <c r="A591" s="16">
        <v>587</v>
      </c>
      <c r="B591" s="70" t="s">
        <v>164</v>
      </c>
      <c r="C591" s="30" t="s">
        <v>27</v>
      </c>
      <c r="D591" s="30">
        <v>0.2</v>
      </c>
      <c r="E591" s="142"/>
      <c r="F591" s="31">
        <f>E591*D591</f>
        <v>0</v>
      </c>
    </row>
    <row r="592" spans="1:6" s="15" customFormat="1" ht="18" x14ac:dyDescent="0.5">
      <c r="A592" s="21">
        <v>588</v>
      </c>
      <c r="B592" s="70" t="s">
        <v>165</v>
      </c>
      <c r="C592" s="30" t="s">
        <v>21</v>
      </c>
      <c r="D592" s="30">
        <v>1</v>
      </c>
      <c r="E592" s="142"/>
      <c r="F592" s="31">
        <f>E592*D592</f>
        <v>0</v>
      </c>
    </row>
    <row r="593" spans="1:6" s="15" customFormat="1" ht="18" x14ac:dyDescent="0.5">
      <c r="A593" s="16">
        <v>589</v>
      </c>
      <c r="B593" s="63" t="s">
        <v>166</v>
      </c>
      <c r="C593" s="64" t="s">
        <v>73</v>
      </c>
      <c r="D593" s="64" t="s">
        <v>73</v>
      </c>
      <c r="E593" s="151"/>
      <c r="F593" s="79">
        <f>SUM(F588:F592)</f>
        <v>0</v>
      </c>
    </row>
    <row r="594" spans="1:6" s="15" customFormat="1" ht="18" x14ac:dyDescent="0.5">
      <c r="A594" s="16">
        <v>590</v>
      </c>
      <c r="B594" s="63" t="s">
        <v>264</v>
      </c>
      <c r="C594" s="64" t="s">
        <v>73</v>
      </c>
      <c r="D594" s="64" t="s">
        <v>73</v>
      </c>
      <c r="E594" s="151"/>
      <c r="F594" s="30" t="s">
        <v>73</v>
      </c>
    </row>
    <row r="595" spans="1:6" s="15" customFormat="1" ht="18" x14ac:dyDescent="0.5">
      <c r="A595" s="21">
        <v>591</v>
      </c>
      <c r="B595" s="70" t="s">
        <v>265</v>
      </c>
      <c r="C595" s="30" t="s">
        <v>94</v>
      </c>
      <c r="D595" s="30">
        <v>9.4</v>
      </c>
      <c r="E595" s="142"/>
      <c r="F595" s="31">
        <f>E595*D595</f>
        <v>0</v>
      </c>
    </row>
    <row r="596" spans="1:6" s="15" customFormat="1" ht="36" x14ac:dyDescent="0.5">
      <c r="A596" s="16">
        <v>592</v>
      </c>
      <c r="B596" s="70" t="s">
        <v>266</v>
      </c>
      <c r="C596" s="30" t="s">
        <v>34</v>
      </c>
      <c r="D596" s="30">
        <v>2.2400000000000002</v>
      </c>
      <c r="E596" s="142"/>
      <c r="F596" s="31">
        <f>E596*D596</f>
        <v>0</v>
      </c>
    </row>
    <row r="597" spans="1:6" s="15" customFormat="1" ht="18" x14ac:dyDescent="0.5">
      <c r="A597" s="16">
        <v>593</v>
      </c>
      <c r="B597" s="63" t="s">
        <v>267</v>
      </c>
      <c r="C597" s="64" t="s">
        <v>73</v>
      </c>
      <c r="D597" s="64" t="s">
        <v>73</v>
      </c>
      <c r="E597" s="151"/>
      <c r="F597" s="79">
        <f>SUM(F595:F596)</f>
        <v>0</v>
      </c>
    </row>
    <row r="598" spans="1:6" s="15" customFormat="1" ht="18" x14ac:dyDescent="0.5">
      <c r="A598" s="21">
        <v>594</v>
      </c>
      <c r="B598" s="63" t="s">
        <v>268</v>
      </c>
      <c r="C598" s="64" t="s">
        <v>73</v>
      </c>
      <c r="D598" s="64" t="s">
        <v>73</v>
      </c>
      <c r="E598" s="151"/>
      <c r="F598" s="79">
        <f>F597+F593+F585+F571+F567+F556</f>
        <v>0</v>
      </c>
    </row>
    <row r="599" spans="1:6" s="15" customFormat="1" ht="18" x14ac:dyDescent="0.5">
      <c r="A599" s="16">
        <v>595</v>
      </c>
      <c r="B599" s="63" t="s">
        <v>73</v>
      </c>
      <c r="C599" s="64" t="s">
        <v>73</v>
      </c>
      <c r="D599" s="64" t="s">
        <v>73</v>
      </c>
      <c r="E599" s="151"/>
      <c r="F599" s="30" t="s">
        <v>73</v>
      </c>
    </row>
    <row r="600" spans="1:6" s="15" customFormat="1" ht="18" x14ac:dyDescent="0.5">
      <c r="A600" s="16">
        <v>596</v>
      </c>
      <c r="B600" s="63" t="s">
        <v>110</v>
      </c>
      <c r="C600" s="64" t="s">
        <v>73</v>
      </c>
      <c r="D600" s="64" t="s">
        <v>73</v>
      </c>
      <c r="E600" s="151"/>
      <c r="F600" s="30" t="s">
        <v>73</v>
      </c>
    </row>
    <row r="601" spans="1:6" s="15" customFormat="1" ht="18" x14ac:dyDescent="0.5">
      <c r="A601" s="21">
        <v>597</v>
      </c>
      <c r="B601" s="63" t="s">
        <v>269</v>
      </c>
      <c r="C601" s="64" t="s">
        <v>73</v>
      </c>
      <c r="D601" s="64" t="s">
        <v>73</v>
      </c>
      <c r="E601" s="151"/>
      <c r="F601" s="30" t="s">
        <v>73</v>
      </c>
    </row>
    <row r="602" spans="1:6" s="15" customFormat="1" ht="18" x14ac:dyDescent="0.5">
      <c r="A602" s="16">
        <v>598</v>
      </c>
      <c r="B602" s="70" t="s">
        <v>88</v>
      </c>
      <c r="C602" s="30" t="s">
        <v>89</v>
      </c>
      <c r="D602" s="30">
        <v>0.42</v>
      </c>
      <c r="E602" s="142"/>
      <c r="F602" s="31">
        <f t="shared" ref="F602:F608" si="27">E602*D602</f>
        <v>0</v>
      </c>
    </row>
    <row r="603" spans="1:6" s="15" customFormat="1" ht="18" x14ac:dyDescent="0.5">
      <c r="A603" s="16">
        <v>599</v>
      </c>
      <c r="B603" s="70" t="s">
        <v>90</v>
      </c>
      <c r="C603" s="30" t="s">
        <v>89</v>
      </c>
      <c r="D603" s="30">
        <v>1</v>
      </c>
      <c r="E603" s="142"/>
      <c r="F603" s="31">
        <f t="shared" si="27"/>
        <v>0</v>
      </c>
    </row>
    <row r="604" spans="1:6" s="15" customFormat="1" ht="18" x14ac:dyDescent="0.5">
      <c r="A604" s="21">
        <v>600</v>
      </c>
      <c r="B604" s="70" t="s">
        <v>112</v>
      </c>
      <c r="C604" s="30" t="s">
        <v>92</v>
      </c>
      <c r="D604" s="30">
        <v>1</v>
      </c>
      <c r="E604" s="142"/>
      <c r="F604" s="31">
        <f t="shared" si="27"/>
        <v>0</v>
      </c>
    </row>
    <row r="605" spans="1:6" s="15" customFormat="1" ht="18" x14ac:dyDescent="0.5">
      <c r="A605" s="16">
        <v>601</v>
      </c>
      <c r="B605" s="70" t="s">
        <v>113</v>
      </c>
      <c r="C605" s="30" t="s">
        <v>94</v>
      </c>
      <c r="D605" s="30">
        <v>20.6</v>
      </c>
      <c r="E605" s="142"/>
      <c r="F605" s="31">
        <f t="shared" si="27"/>
        <v>0</v>
      </c>
    </row>
    <row r="606" spans="1:6" s="15" customFormat="1" ht="18" x14ac:dyDescent="0.5">
      <c r="A606" s="16">
        <v>602</v>
      </c>
      <c r="B606" s="70" t="s">
        <v>114</v>
      </c>
      <c r="C606" s="30" t="s">
        <v>94</v>
      </c>
      <c r="D606" s="30">
        <v>31.8</v>
      </c>
      <c r="E606" s="142"/>
      <c r="F606" s="31">
        <f t="shared" si="27"/>
        <v>0</v>
      </c>
    </row>
    <row r="607" spans="1:6" s="15" customFormat="1" ht="18" x14ac:dyDescent="0.5">
      <c r="A607" s="21">
        <v>603</v>
      </c>
      <c r="B607" s="70" t="s">
        <v>115</v>
      </c>
      <c r="C607" s="30" t="s">
        <v>94</v>
      </c>
      <c r="D607" s="30">
        <v>20</v>
      </c>
      <c r="E607" s="142"/>
      <c r="F607" s="31">
        <f t="shared" si="27"/>
        <v>0</v>
      </c>
    </row>
    <row r="608" spans="1:6" s="15" customFormat="1" ht="36" x14ac:dyDescent="0.5">
      <c r="A608" s="16">
        <v>604</v>
      </c>
      <c r="B608" s="70" t="s">
        <v>116</v>
      </c>
      <c r="C608" s="30" t="s">
        <v>16</v>
      </c>
      <c r="D608" s="30">
        <v>1</v>
      </c>
      <c r="E608" s="142"/>
      <c r="F608" s="31">
        <f t="shared" si="27"/>
        <v>0</v>
      </c>
    </row>
    <row r="609" spans="1:6" s="15" customFormat="1" ht="18" x14ac:dyDescent="0.5">
      <c r="A609" s="16">
        <v>605</v>
      </c>
      <c r="B609" s="63" t="s">
        <v>270</v>
      </c>
      <c r="C609" s="64" t="s">
        <v>73</v>
      </c>
      <c r="D609" s="64" t="s">
        <v>73</v>
      </c>
      <c r="E609" s="151"/>
      <c r="F609" s="79">
        <f>SUM(F602:F608)</f>
        <v>0</v>
      </c>
    </row>
    <row r="610" spans="1:6" s="15" customFormat="1" ht="18" x14ac:dyDescent="0.5">
      <c r="A610" s="21">
        <v>606</v>
      </c>
      <c r="B610" s="63" t="s">
        <v>271</v>
      </c>
      <c r="C610" s="64" t="s">
        <v>73</v>
      </c>
      <c r="D610" s="64" t="s">
        <v>73</v>
      </c>
      <c r="E610" s="151"/>
      <c r="F610" s="79">
        <f>F609</f>
        <v>0</v>
      </c>
    </row>
    <row r="611" spans="1:6" s="15" customFormat="1" ht="18" x14ac:dyDescent="0.5">
      <c r="A611" s="16">
        <v>607</v>
      </c>
      <c r="B611" s="67" t="s">
        <v>272</v>
      </c>
      <c r="C611" s="68" t="s">
        <v>73</v>
      </c>
      <c r="D611" s="68" t="s">
        <v>73</v>
      </c>
      <c r="E611" s="152"/>
      <c r="F611" s="69">
        <f>+F610+F598</f>
        <v>0</v>
      </c>
    </row>
    <row r="612" spans="1:6" s="15" customFormat="1" ht="54" customHeight="1" x14ac:dyDescent="0.5">
      <c r="A612" s="16">
        <v>608</v>
      </c>
      <c r="B612" s="80" t="s">
        <v>355</v>
      </c>
      <c r="C612" s="55"/>
      <c r="D612" s="56">
        <v>3</v>
      </c>
      <c r="E612" s="148"/>
      <c r="F612" s="82">
        <f>F611*D612</f>
        <v>0</v>
      </c>
    </row>
    <row r="613" spans="1:6" s="15" customFormat="1" ht="21.6" customHeight="1" x14ac:dyDescent="0.5">
      <c r="A613" s="21">
        <v>609</v>
      </c>
      <c r="B613" s="80" t="s">
        <v>119</v>
      </c>
      <c r="C613" s="55"/>
      <c r="D613" s="56"/>
      <c r="E613" s="148"/>
      <c r="F613" s="82">
        <f>F612*18/100</f>
        <v>0</v>
      </c>
    </row>
    <row r="614" spans="1:6" s="15" customFormat="1" ht="33" customHeight="1" x14ac:dyDescent="0.5">
      <c r="A614" s="16">
        <v>610</v>
      </c>
      <c r="B614" s="80" t="s">
        <v>357</v>
      </c>
      <c r="C614" s="55"/>
      <c r="D614" s="56"/>
      <c r="E614" s="148"/>
      <c r="F614" s="82">
        <f>F612+F613</f>
        <v>0</v>
      </c>
    </row>
    <row r="615" spans="1:6" ht="18" x14ac:dyDescent="0.5">
      <c r="A615" s="16">
        <v>611</v>
      </c>
      <c r="B615" s="60" t="s">
        <v>356</v>
      </c>
      <c r="C615" s="131"/>
      <c r="D615" s="132"/>
      <c r="E615" s="133"/>
      <c r="F615" s="134">
        <f>F62+F91+F114+F122+F165+F277+F293+F359+F425+F468+F534+F614+F548</f>
        <v>0</v>
      </c>
    </row>
  </sheetData>
  <sheetProtection algorithmName="SHA-512" hashValue="KW3LmHQP1zxZNO4rssP6fMLe7o9jfnY94uI7BD4bF1XsugBUakEIBxl3D1YTqDjVD4QWqEUSUTQ0Qmgtu0ribA==" saltValue="rISZych8qx7URNdSs6C7bw==" spinCount="100000" sheet="1" objects="1" scenarios="1"/>
  <pageMargins left="0.70000000000000007" right="0.70000000000000007" top="0.75" bottom="0.75" header="0.30000000000000004" footer="0.3000000000000000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A714ED134777A489E03A3CF5B7B9528" ma:contentTypeVersion="17" ma:contentTypeDescription="Create a new document." ma:contentTypeScope="" ma:versionID="7cc6d06da90e9466bb6dacfd32e7aaab">
  <xsd:schema xmlns:xsd="http://www.w3.org/2001/XMLSchema" xmlns:xs="http://www.w3.org/2001/XMLSchema" xmlns:p="http://schemas.microsoft.com/office/2006/metadata/properties" xmlns:ns2="579658dc-5ca5-4c57-b8e6-25cca62e8fa1" xmlns:ns3="ba03fa4d-5a13-460c-ab7e-58e5c63414c5" targetNamespace="http://schemas.microsoft.com/office/2006/metadata/properties" ma:root="true" ma:fieldsID="1bcf27d3eecc3b99e65891198ff28d0e" ns2:_="" ns3:_="">
    <xsd:import namespace="579658dc-5ca5-4c57-b8e6-25cca62e8fa1"/>
    <xsd:import namespace="ba03fa4d-5a13-460c-ab7e-58e5c63414c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9658dc-5ca5-4c57-b8e6-25cca62e8f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ca4ef52-7c09-48d0-8f69-75e6c1e799b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03fa4d-5a13-460c-ab7e-58e5c63414c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f4f98e1-2c1e-451a-ab7d-3bdf1d74dec2}" ma:internalName="TaxCatchAll" ma:showField="CatchAllData" ma:web="ba03fa4d-5a13-460c-ab7e-58e5c63414c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a03fa4d-5a13-460c-ab7e-58e5c63414c5" xsi:nil="true"/>
    <lcf76f155ced4ddcb4097134ff3c332f xmlns="579658dc-5ca5-4c57-b8e6-25cca62e8f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B8072B0-9044-4196-B0C9-EF95DDC19554}">
  <ds:schemaRefs>
    <ds:schemaRef ds:uri="http://schemas.microsoft.com/sharepoint/v3/contenttype/forms"/>
  </ds:schemaRefs>
</ds:datastoreItem>
</file>

<file path=customXml/itemProps2.xml><?xml version="1.0" encoding="utf-8"?>
<ds:datastoreItem xmlns:ds="http://schemas.openxmlformats.org/officeDocument/2006/customXml" ds:itemID="{583F71D6-50E6-4203-AB05-FF670470E1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9658dc-5ca5-4c57-b8e6-25cca62e8fa1"/>
    <ds:schemaRef ds:uri="ba03fa4d-5a13-460c-ab7e-58e5c63414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8F44C0-D4ED-4726-997A-1893B529C03F}">
  <ds:schemaRefs>
    <ds:schemaRef ds:uri="http://schemas.microsoft.com/office/2006/metadata/properties"/>
    <ds:schemaRef ds:uri="http://schemas.microsoft.com/office/infopath/2007/PartnerControls"/>
    <ds:schemaRef ds:uri="ba03fa4d-5a13-460c-ab7e-58e5c63414c5"/>
    <ds:schemaRef ds:uri="579658dc-5ca5-4c57-b8e6-25cca62e8fa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Lot_2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Pascal Rukundo</dc:creator>
  <dc:description/>
  <cp:lastModifiedBy>Innocent Muhanda</cp:lastModifiedBy>
  <dcterms:created xsi:type="dcterms:W3CDTF">2025-07-07T21:40:13Z</dcterms:created>
  <dcterms:modified xsi:type="dcterms:W3CDTF">2025-07-10T15:53:33Z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0x0101002A714ED134777A489E03A3CF5B7B9528</vt:lpwstr>
  </property>
  <property fmtid="{D5CDD505-2E9C-101B-9397-08002B2CF9AE}" pid="3" name="MediaServiceImageTags">
    <vt:lpwstr/>
  </property>
</Properties>
</file>